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0835" windowHeight="9405"/>
  </bookViews>
  <sheets>
    <sheet name="Etiq y no Etiq Junio" sheetId="1" r:id="rId1"/>
  </sheets>
  <definedNames>
    <definedName name="_xlnm.Print_Area" localSheetId="0">'Etiq y no Etiq Junio'!$A$1:$H$166</definedName>
    <definedName name="_xlnm.Print_Titles" localSheetId="0">'Etiq y no Etiq Junio'!$1:$8</definedName>
  </definedNames>
  <calcPr calcId="145621"/>
</workbook>
</file>

<file path=xl/calcChain.xml><?xml version="1.0" encoding="utf-8"?>
<calcChain xmlns="http://schemas.openxmlformats.org/spreadsheetml/2006/main">
  <c r="H130" i="1" l="1"/>
  <c r="D130" i="1"/>
  <c r="D128" i="1" s="1"/>
  <c r="H129" i="1"/>
  <c r="D129" i="1"/>
  <c r="H128" i="1"/>
  <c r="G128" i="1"/>
  <c r="F128" i="1"/>
  <c r="E128" i="1"/>
  <c r="C128" i="1"/>
  <c r="H127" i="1"/>
  <c r="H119" i="1" s="1"/>
  <c r="G119" i="1"/>
  <c r="F119" i="1"/>
  <c r="E119" i="1"/>
  <c r="D119" i="1"/>
  <c r="C119" i="1"/>
  <c r="H113" i="1"/>
  <c r="D113" i="1"/>
  <c r="H112" i="1"/>
  <c r="D112" i="1"/>
  <c r="D109" i="1" s="1"/>
  <c r="H110" i="1"/>
  <c r="H109" i="1" s="1"/>
  <c r="D110" i="1"/>
  <c r="G109" i="1"/>
  <c r="F109" i="1"/>
  <c r="F80" i="1" s="1"/>
  <c r="F153" i="1" s="1"/>
  <c r="E109" i="1"/>
  <c r="C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H99" i="1" s="1"/>
  <c r="C102" i="1"/>
  <c r="D102" i="1" s="1"/>
  <c r="H101" i="1"/>
  <c r="D101" i="1"/>
  <c r="H100" i="1"/>
  <c r="D100" i="1"/>
  <c r="G99" i="1"/>
  <c r="F99" i="1"/>
  <c r="E99" i="1"/>
  <c r="C99" i="1"/>
  <c r="H98" i="1"/>
  <c r="D98" i="1"/>
  <c r="H97" i="1"/>
  <c r="D97" i="1"/>
  <c r="H96" i="1"/>
  <c r="D96" i="1"/>
  <c r="H95" i="1"/>
  <c r="D95" i="1"/>
  <c r="H94" i="1"/>
  <c r="D94" i="1"/>
  <c r="H91" i="1"/>
  <c r="D91" i="1"/>
  <c r="D89" i="1" s="1"/>
  <c r="H90" i="1"/>
  <c r="D90" i="1"/>
  <c r="H89" i="1"/>
  <c r="G89" i="1"/>
  <c r="F89" i="1"/>
  <c r="E89" i="1"/>
  <c r="C89" i="1"/>
  <c r="H86" i="1"/>
  <c r="D86" i="1"/>
  <c r="H85" i="1"/>
  <c r="D85" i="1"/>
  <c r="H84" i="1"/>
  <c r="D84" i="1"/>
  <c r="H83" i="1"/>
  <c r="D83" i="1"/>
  <c r="D81" i="1" s="1"/>
  <c r="H82" i="1"/>
  <c r="H81" i="1" s="1"/>
  <c r="H80" i="1" s="1"/>
  <c r="D82" i="1"/>
  <c r="G81" i="1"/>
  <c r="G80" i="1" s="1"/>
  <c r="F81" i="1"/>
  <c r="E81" i="1"/>
  <c r="C81" i="1"/>
  <c r="C80" i="1" s="1"/>
  <c r="E80" i="1"/>
  <c r="E74" i="1"/>
  <c r="D74" i="1" s="1"/>
  <c r="C74" i="1"/>
  <c r="E73" i="1"/>
  <c r="D73" i="1" s="1"/>
  <c r="D72" i="1" s="1"/>
  <c r="C73" i="1"/>
  <c r="G72" i="1"/>
  <c r="F72" i="1"/>
  <c r="C72" i="1"/>
  <c r="G57" i="1"/>
  <c r="F57" i="1"/>
  <c r="E57" i="1"/>
  <c r="H57" i="1" s="1"/>
  <c r="H56" i="1" s="1"/>
  <c r="C57" i="1"/>
  <c r="G56" i="1"/>
  <c r="F56" i="1"/>
  <c r="C56" i="1"/>
  <c r="G55" i="1"/>
  <c r="F55" i="1"/>
  <c r="E55" i="1"/>
  <c r="H55" i="1" s="1"/>
  <c r="H48" i="1" s="1"/>
  <c r="C55" i="1"/>
  <c r="G48" i="1"/>
  <c r="F48" i="1"/>
  <c r="C48" i="1"/>
  <c r="G43" i="1"/>
  <c r="F43" i="1"/>
  <c r="E43" i="1"/>
  <c r="H43" i="1" s="1"/>
  <c r="C43" i="1"/>
  <c r="G42" i="1"/>
  <c r="F42" i="1"/>
  <c r="E42" i="1"/>
  <c r="H42" i="1" s="1"/>
  <c r="C42" i="1"/>
  <c r="G41" i="1"/>
  <c r="F41" i="1"/>
  <c r="E41" i="1"/>
  <c r="H41" i="1" s="1"/>
  <c r="C41" i="1"/>
  <c r="G39" i="1"/>
  <c r="G38" i="1" s="1"/>
  <c r="F39" i="1"/>
  <c r="E39" i="1"/>
  <c r="H39" i="1" s="1"/>
  <c r="H38" i="1" s="1"/>
  <c r="C39" i="1"/>
  <c r="C38" i="1" s="1"/>
  <c r="F38" i="1"/>
  <c r="E38" i="1"/>
  <c r="G37" i="1"/>
  <c r="F37" i="1"/>
  <c r="E37" i="1"/>
  <c r="H37" i="1" s="1"/>
  <c r="C37" i="1"/>
  <c r="G36" i="1"/>
  <c r="F36" i="1"/>
  <c r="E36" i="1"/>
  <c r="H36" i="1" s="1"/>
  <c r="C36" i="1"/>
  <c r="G35" i="1"/>
  <c r="F35" i="1"/>
  <c r="E35" i="1"/>
  <c r="H35" i="1" s="1"/>
  <c r="C35" i="1"/>
  <c r="G34" i="1"/>
  <c r="F34" i="1"/>
  <c r="E34" i="1"/>
  <c r="H34" i="1" s="1"/>
  <c r="C34" i="1"/>
  <c r="G33" i="1"/>
  <c r="F33" i="1"/>
  <c r="E33" i="1"/>
  <c r="H33" i="1" s="1"/>
  <c r="C33" i="1"/>
  <c r="G32" i="1"/>
  <c r="F32" i="1"/>
  <c r="E32" i="1"/>
  <c r="H32" i="1" s="1"/>
  <c r="C32" i="1"/>
  <c r="G31" i="1"/>
  <c r="F31" i="1"/>
  <c r="E31" i="1"/>
  <c r="H31" i="1" s="1"/>
  <c r="C31" i="1"/>
  <c r="G30" i="1"/>
  <c r="F30" i="1"/>
  <c r="E30" i="1"/>
  <c r="H30" i="1" s="1"/>
  <c r="C30" i="1"/>
  <c r="G29" i="1"/>
  <c r="G28" i="1" s="1"/>
  <c r="F29" i="1"/>
  <c r="E29" i="1"/>
  <c r="H29" i="1" s="1"/>
  <c r="H28" i="1" s="1"/>
  <c r="C29" i="1"/>
  <c r="C28" i="1" s="1"/>
  <c r="F28" i="1"/>
  <c r="E28" i="1"/>
  <c r="G27" i="1"/>
  <c r="G18" i="1" s="1"/>
  <c r="F27" i="1"/>
  <c r="E27" i="1"/>
  <c r="H27" i="1" s="1"/>
  <c r="C27" i="1"/>
  <c r="C18" i="1" s="1"/>
  <c r="G26" i="1"/>
  <c r="F26" i="1"/>
  <c r="H26" i="1" s="1"/>
  <c r="D26" i="1"/>
  <c r="C26" i="1"/>
  <c r="G25" i="1"/>
  <c r="F25" i="1"/>
  <c r="E25" i="1"/>
  <c r="H25" i="1" s="1"/>
  <c r="C25" i="1"/>
  <c r="H24" i="1"/>
  <c r="G24" i="1"/>
  <c r="F24" i="1"/>
  <c r="E24" i="1"/>
  <c r="D24" i="1"/>
  <c r="C24" i="1"/>
  <c r="G23" i="1"/>
  <c r="F23" i="1"/>
  <c r="E23" i="1"/>
  <c r="H23" i="1" s="1"/>
  <c r="C23" i="1"/>
  <c r="H22" i="1"/>
  <c r="G22" i="1"/>
  <c r="F22" i="1"/>
  <c r="E22" i="1"/>
  <c r="D22" i="1"/>
  <c r="C22" i="1"/>
  <c r="G20" i="1"/>
  <c r="F20" i="1"/>
  <c r="E20" i="1"/>
  <c r="H20" i="1" s="1"/>
  <c r="C20" i="1"/>
  <c r="H19" i="1"/>
  <c r="H18" i="1" s="1"/>
  <c r="G19" i="1"/>
  <c r="F19" i="1"/>
  <c r="E19" i="1"/>
  <c r="D19" i="1"/>
  <c r="C19" i="1"/>
  <c r="F18" i="1"/>
  <c r="E18" i="1"/>
  <c r="H15" i="1"/>
  <c r="G15" i="1"/>
  <c r="F15" i="1"/>
  <c r="E15" i="1"/>
  <c r="D15" i="1"/>
  <c r="C15" i="1"/>
  <c r="G14" i="1"/>
  <c r="F14" i="1"/>
  <c r="E14" i="1"/>
  <c r="H14" i="1" s="1"/>
  <c r="C14" i="1"/>
  <c r="H13" i="1"/>
  <c r="G13" i="1"/>
  <c r="F13" i="1"/>
  <c r="E13" i="1"/>
  <c r="D13" i="1"/>
  <c r="C13" i="1"/>
  <c r="G12" i="1"/>
  <c r="F12" i="1"/>
  <c r="E12" i="1"/>
  <c r="H12" i="1" s="1"/>
  <c r="C12" i="1"/>
  <c r="H11" i="1"/>
  <c r="G11" i="1"/>
  <c r="F11" i="1"/>
  <c r="E11" i="1"/>
  <c r="E10" i="1" s="1"/>
  <c r="D11" i="1"/>
  <c r="C11" i="1"/>
  <c r="G10" i="1"/>
  <c r="F10" i="1"/>
  <c r="F9" i="1" s="1"/>
  <c r="C10" i="1"/>
  <c r="C9" i="1" s="1"/>
  <c r="C153" i="1" s="1"/>
  <c r="D80" i="1" l="1"/>
  <c r="H10" i="1"/>
  <c r="G9" i="1"/>
  <c r="G153" i="1"/>
  <c r="D99" i="1"/>
  <c r="D27" i="1"/>
  <c r="D29" i="1"/>
  <c r="D31" i="1"/>
  <c r="D33" i="1"/>
  <c r="D35" i="1"/>
  <c r="D37" i="1"/>
  <c r="D39" i="1"/>
  <c r="D42" i="1"/>
  <c r="H73" i="1"/>
  <c r="H72" i="1" s="1"/>
  <c r="H74" i="1"/>
  <c r="D12" i="1"/>
  <c r="D10" i="1" s="1"/>
  <c r="D14" i="1"/>
  <c r="D20" i="1"/>
  <c r="D18" i="1" s="1"/>
  <c r="D23" i="1"/>
  <c r="D25" i="1"/>
  <c r="E48" i="1"/>
  <c r="E9" i="1" s="1"/>
  <c r="E153" i="1" s="1"/>
  <c r="E56" i="1"/>
  <c r="E72" i="1"/>
  <c r="D30" i="1"/>
  <c r="D32" i="1"/>
  <c r="D34" i="1"/>
  <c r="D36" i="1"/>
  <c r="D41" i="1"/>
  <c r="D43" i="1"/>
  <c r="D55" i="1"/>
  <c r="D48" i="1" s="1"/>
  <c r="D57" i="1"/>
  <c r="D56" i="1" s="1"/>
  <c r="H9" i="1" l="1"/>
  <c r="H153" i="1" s="1"/>
  <c r="D38" i="1"/>
  <c r="D9" i="1" s="1"/>
  <c r="D153" i="1" s="1"/>
  <c r="D28" i="1"/>
</calcChain>
</file>

<file path=xl/sharedStrings.xml><?xml version="1.0" encoding="utf-8"?>
<sst xmlns="http://schemas.openxmlformats.org/spreadsheetml/2006/main" count="156" uniqueCount="87">
  <si>
    <t>Municipio de Durango</t>
  </si>
  <si>
    <t>Estado Analítico del Ejercicio del Presupuesto de Egresos</t>
  </si>
  <si>
    <t>Clasificación por Objeto del Gasto (Capítulo y Concepto)</t>
  </si>
  <si>
    <t>Del 1 de enero al 30 de junio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</si>
  <si>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</si>
  <si>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</si>
  <si>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</si>
  <si>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</si>
  <si>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</si>
  <si>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</si>
  <si>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</si>
  <si>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</si>
  <si>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 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</si>
  <si>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</si>
  <si>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</si>
  <si>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</si>
  <si>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</si>
  <si>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</si>
  <si>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</si>
  <si>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</si>
  <si>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</si>
  <si>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</si>
  <si>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</si>
  <si>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</si>
  <si>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 xml:space="preserve">Materias Primas y Materiales de Producción y Comercialización 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</si>
  <si>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</si>
  <si>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</si>
  <si>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</si>
  <si>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</si>
  <si>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</si>
  <si>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</si>
  <si>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</si>
  <si>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</si>
  <si>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</si>
  <si>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</si>
  <si>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</si>
  <si>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</si>
  <si>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</si>
  <si>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</si>
  <si>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</si>
  <si>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</si>
  <si>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</si>
  <si>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</si>
  <si>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</si>
  <si>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</si>
  <si>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</si>
  <si>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</si>
  <si>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</si>
  <si>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</si>
  <si>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</si>
  <si>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</si>
  <si>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</si>
  <si>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</si>
  <si>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</si>
  <si>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Instrumental, Médico y de Laboratorio</t>
  </si>
  <si>
    <t>Vehículos y Equipo de Transporte</t>
  </si>
  <si>
    <t>Equipo de Defensa y Seguridad</t>
  </si>
  <si>
    <t>Maquinaria, Otros Equipos y Herramientas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</si>
  <si>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</si>
  <si>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</si>
  <si>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</si>
  <si>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</si>
  <si>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</si>
  <si>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</si>
  <si>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</si>
  <si>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</si>
  <si>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Conseción de Prestamos</t>
  </si>
  <si>
    <t>Inversiones en Fideicomisos, Mandatos y Otros Analogos, Fideicomiso de Desastres Naturales (Informativo)</t>
  </si>
  <si>
    <t>Otras 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</si>
  <si>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</si>
  <si>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</si>
  <si>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</si>
  <si>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</si>
  <si>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</si>
  <si>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</si>
  <si>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</si>
  <si>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</si>
  <si>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</si>
  <si>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</si>
  <si>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</si>
  <si>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</si>
  <si>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 de Ejercicios Fiscales Anteriores (ADEFAS)</t>
  </si>
  <si>
    <t>II. GASTO ETIQUETADO</t>
  </si>
  <si>
    <t>Activos Biológicos</t>
  </si>
  <si>
    <t>Concesión de Prestamos</t>
  </si>
  <si>
    <t>Otras Inversiones Financieras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</si>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</sst>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43" fontId="5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6" fillId="2" borderId="3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7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0" fillId="0" borderId="8" xfId="0" applyNumberFormat="1" applyBorder="1"/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8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0" xfId="0" applyNumberFormat="1" applyFont="1"/>
    <xf numFmtId="164" fontId="1" fillId="0" borderId="0" xfId="1" applyNumberFormat="1" applyFont="1"/>
    <xf numFmtId="164" fontId="0" fillId="0" borderId="7" xfId="0" applyNumberForma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8" fillId="0" borderId="0" xfId="0" applyFont="1"/>
    <xf numFmtId="164" fontId="4" fillId="0" borderId="6" xfId="1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/>
    <xf numFmtId="4" fontId="7" fillId="0" borderId="10" xfId="0" applyNumberFormat="1" applyFont="1" applyBorder="1" applyAlignment="1">
      <alignment vertical="center"/>
    </xf>
    <xf numFmtId="43" fontId="2" fillId="0" borderId="0" xfId="1" applyFont="1"/>
    <xf numFmtId="43" fontId="4" fillId="0" borderId="0" xfId="1" applyFont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19050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0</xdr:row>
      <xdr:rowOff>104775</xdr:rowOff>
    </xdr:from>
    <xdr:to>
      <xdr:col>7</xdr:col>
      <xdr:colOff>923925</xdr:colOff>
      <xdr:row>4</xdr:row>
      <xdr:rowOff>38100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04775"/>
          <a:ext cx="2238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19050</xdr:rowOff>
    </xdr:to>
    <xdr:pic>
      <xdr:nvPicPr>
        <xdr:cNvPr id="4" name="5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19050</xdr:rowOff>
    </xdr:to>
    <xdr:pic>
      <xdr:nvPicPr>
        <xdr:cNvPr id="5" name="7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0</xdr:rowOff>
    </xdr:from>
    <xdr:to>
      <xdr:col>1</xdr:col>
      <xdr:colOff>1990725</xdr:colOff>
      <xdr:row>5</xdr:row>
      <xdr:rowOff>19050</xdr:rowOff>
    </xdr:to>
    <xdr:pic>
      <xdr:nvPicPr>
        <xdr:cNvPr id="6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581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157</xdr:row>
      <xdr:rowOff>47625</xdr:rowOff>
    </xdr:from>
    <xdr:to>
      <xdr:col>1</xdr:col>
      <xdr:colOff>3781425</xdr:colOff>
      <xdr:row>164</xdr:row>
      <xdr:rowOff>85725</xdr:rowOff>
    </xdr:to>
    <xdr:sp macro="" textlink="">
      <xdr:nvSpPr>
        <xdr:cNvPr id="7" name="6 Rectángulo"/>
        <xdr:cNvSpPr/>
      </xdr:nvSpPr>
      <xdr:spPr>
        <a:xfrm>
          <a:off x="238125" y="28460700"/>
          <a:ext cx="3733800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PRESIDENTE</a:t>
          </a:r>
          <a:r>
            <a:rPr lang="es-ES" sz="1100" b="1" baseline="0">
              <a:solidFill>
                <a:sysClr val="windowText" lastClr="000000"/>
              </a:solidFill>
            </a:rPr>
            <a:t>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DR. JOSE RAMÓN  ENRIQUEZ HERRERA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3867149</xdr:colOff>
      <xdr:row>156</xdr:row>
      <xdr:rowOff>161925</xdr:rowOff>
    </xdr:from>
    <xdr:to>
      <xdr:col>5</xdr:col>
      <xdr:colOff>171448</xdr:colOff>
      <xdr:row>164</xdr:row>
      <xdr:rowOff>9525</xdr:rowOff>
    </xdr:to>
    <xdr:sp macro="" textlink="">
      <xdr:nvSpPr>
        <xdr:cNvPr id="8" name="7 Rectángulo"/>
        <xdr:cNvSpPr/>
      </xdr:nvSpPr>
      <xdr:spPr>
        <a:xfrm flipH="1">
          <a:off x="4057649" y="28394025"/>
          <a:ext cx="3562349" cy="1295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DIRECTOR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8</xdr:col>
      <xdr:colOff>323849</xdr:colOff>
      <xdr:row>163</xdr:row>
      <xdr:rowOff>123825</xdr:rowOff>
    </xdr:to>
    <xdr:sp macro="" textlink="">
      <xdr:nvSpPr>
        <xdr:cNvPr id="9" name="8 Rectángulo"/>
        <xdr:cNvSpPr/>
      </xdr:nvSpPr>
      <xdr:spPr>
        <a:xfrm flipH="1">
          <a:off x="7448550" y="28413075"/>
          <a:ext cx="3638549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M.A.P. LUZ MARÍA GARIBAY AVITIA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6"/>
  <sheetViews>
    <sheetView tabSelected="1" zoomScaleNormal="100" workbookViewId="0"/>
  </sheetViews>
  <sheetFormatPr baseColWidth="10" defaultRowHeight="14.25" x14ac:dyDescent="0.2"/>
  <cols>
    <col min="1" max="1" width="2.85546875" style="1" customWidth="1"/>
    <col min="2" max="2" width="59.140625" style="1" customWidth="1"/>
    <col min="3" max="8" width="16.5703125" style="46" customWidth="1"/>
    <col min="9" max="9" width="26.28515625" style="1" customWidth="1"/>
    <col min="10" max="10" width="15.5703125" style="1" bestFit="1" customWidth="1"/>
    <col min="11" max="11" width="15.5703125" style="2" customWidth="1"/>
    <col min="12" max="16384" width="11.42578125" style="1"/>
  </cols>
  <sheetData>
    <row r="2" spans="1:11" ht="18" customHeight="1" x14ac:dyDescent="0.2">
      <c r="B2" s="48" t="s">
        <v>0</v>
      </c>
      <c r="C2" s="48"/>
      <c r="D2" s="48"/>
      <c r="E2" s="48"/>
      <c r="F2" s="48"/>
      <c r="G2" s="48"/>
      <c r="H2" s="48"/>
    </row>
    <row r="3" spans="1:11" ht="18" customHeight="1" x14ac:dyDescent="0.25">
      <c r="B3" s="48" t="s">
        <v>1</v>
      </c>
      <c r="C3" s="48"/>
      <c r="D3" s="48"/>
      <c r="E3" s="48"/>
      <c r="F3" s="48"/>
      <c r="G3" s="48"/>
      <c r="H3" s="48"/>
      <c r="I3" s="3"/>
    </row>
    <row r="4" spans="1:11" ht="18" customHeight="1" x14ac:dyDescent="0.2">
      <c r="B4" s="48" t="s">
        <v>2</v>
      </c>
      <c r="C4" s="48"/>
      <c r="D4" s="48"/>
      <c r="E4" s="48"/>
      <c r="F4" s="48"/>
      <c r="G4" s="48"/>
      <c r="H4" s="48"/>
    </row>
    <row r="5" spans="1:11" ht="15" x14ac:dyDescent="0.2">
      <c r="B5" s="48" t="s">
        <v>3</v>
      </c>
      <c r="C5" s="48"/>
      <c r="D5" s="48"/>
      <c r="E5" s="48"/>
      <c r="F5" s="48"/>
      <c r="G5" s="48"/>
      <c r="H5" s="48"/>
    </row>
    <row r="6" spans="1:11" ht="6" customHeight="1" x14ac:dyDescent="0.2">
      <c r="B6" s="4"/>
      <c r="C6" s="5"/>
      <c r="D6" s="5"/>
      <c r="E6" s="5"/>
      <c r="F6" s="5"/>
      <c r="G6" s="5"/>
      <c r="H6" s="5"/>
    </row>
    <row r="7" spans="1:11" ht="15" customHeight="1" x14ac:dyDescent="0.2">
      <c r="A7" s="49" t="s">
        <v>4</v>
      </c>
      <c r="B7" s="50"/>
      <c r="C7" s="53" t="s">
        <v>5</v>
      </c>
      <c r="D7" s="6" t="s">
        <v>6</v>
      </c>
      <c r="E7" s="53" t="s">
        <v>7</v>
      </c>
      <c r="F7" s="53" t="s">
        <v>8</v>
      </c>
      <c r="G7" s="53" t="s">
        <v>9</v>
      </c>
      <c r="H7" s="53" t="s">
        <v>10</v>
      </c>
    </row>
    <row r="8" spans="1:11" x14ac:dyDescent="0.2">
      <c r="A8" s="51"/>
      <c r="B8" s="52"/>
      <c r="C8" s="54"/>
      <c r="D8" s="7" t="s">
        <v>11</v>
      </c>
      <c r="E8" s="54"/>
      <c r="F8" s="54"/>
      <c r="G8" s="54"/>
      <c r="H8" s="54"/>
    </row>
    <row r="9" spans="1:11" s="13" customFormat="1" ht="14.25" customHeight="1" x14ac:dyDescent="0.25">
      <c r="A9" s="8" t="s">
        <v>12</v>
      </c>
      <c r="B9" s="9"/>
      <c r="C9" s="10">
        <f t="shared" ref="C9:H9" si="0">C10+C18+C28+C38+C48+C56+C72</f>
        <v>1574174585</v>
      </c>
      <c r="D9" s="10">
        <f t="shared" si="0"/>
        <v>6417336.4500000328</v>
      </c>
      <c r="E9" s="10">
        <f t="shared" si="0"/>
        <v>1580591921.4499998</v>
      </c>
      <c r="F9" s="11">
        <f t="shared" si="0"/>
        <v>826121966.48000002</v>
      </c>
      <c r="G9" s="12">
        <f t="shared" si="0"/>
        <v>796618409.34000015</v>
      </c>
      <c r="H9" s="10">
        <f t="shared" si="0"/>
        <v>754469954.97000015</v>
      </c>
      <c r="K9" s="14"/>
    </row>
    <row r="10" spans="1:11" s="13" customFormat="1" ht="14.25" customHeight="1" x14ac:dyDescent="0.2">
      <c r="A10" s="15" t="s">
        <v>13</v>
      </c>
      <c r="B10" s="16"/>
      <c r="C10" s="10">
        <f t="shared" ref="C10:H10" si="1">SUM(C11:C15)</f>
        <v>596163325.94999993</v>
      </c>
      <c r="D10" s="10">
        <f t="shared" si="1"/>
        <v>8912172.0800000206</v>
      </c>
      <c r="E10" s="10">
        <f t="shared" si="1"/>
        <v>605075498.02999997</v>
      </c>
      <c r="F10" s="10">
        <f t="shared" si="1"/>
        <v>308329929.52999997</v>
      </c>
      <c r="G10" s="17">
        <f t="shared" si="1"/>
        <v>308274623.13</v>
      </c>
      <c r="H10" s="10">
        <f t="shared" si="1"/>
        <v>296745568.5</v>
      </c>
      <c r="I10" s="1"/>
      <c r="K10" s="1"/>
    </row>
    <row r="11" spans="1:11" s="13" customFormat="1" ht="14.25" customHeight="1" x14ac:dyDescent="0.2">
      <c r="A11" s="18"/>
      <c r="B11" s="19" t="s">
        <v>14</v>
      </c>
      <c r="C11" s="20">
        <f>344451457.53-$C$82</f>
        <v>232962631.72999996</v>
      </c>
      <c r="D11" s="20">
        <f t="shared" ref="D11:D106" si="2">E11-C11</f>
        <v>9646236.2300000191</v>
      </c>
      <c r="E11" s="21">
        <f>353152257.38-E82</f>
        <v>242608867.95999998</v>
      </c>
      <c r="F11" s="21">
        <f>189899131.51-F82</f>
        <v>131970137.98999998</v>
      </c>
      <c r="G11" s="22">
        <f>189897530.79-G82</f>
        <v>131968537.26999998</v>
      </c>
      <c r="H11" s="20">
        <f>E11-F11</f>
        <v>110638729.97</v>
      </c>
      <c r="I11" s="1"/>
      <c r="K11" s="1"/>
    </row>
    <row r="12" spans="1:11" s="13" customFormat="1" ht="14.25" customHeight="1" x14ac:dyDescent="0.2">
      <c r="A12" s="18"/>
      <c r="B12" s="19" t="s">
        <v>15</v>
      </c>
      <c r="C12" s="20">
        <f>64520057.46-C83</f>
        <v>59319457.700000003</v>
      </c>
      <c r="D12" s="20">
        <f t="shared" si="2"/>
        <v>-195743.24000000209</v>
      </c>
      <c r="E12" s="21">
        <f>64520057.46-E83</f>
        <v>59123714.460000001</v>
      </c>
      <c r="F12" s="21">
        <f>46729264.34-F83</f>
        <v>44552545.340000004</v>
      </c>
      <c r="G12" s="22">
        <f>46729264.34-G83</f>
        <v>44552545.340000004</v>
      </c>
      <c r="H12" s="20">
        <f t="shared" ref="H12:H57" si="3">E12-F12</f>
        <v>14571169.119999997</v>
      </c>
      <c r="I12" s="1"/>
      <c r="K12" s="1"/>
    </row>
    <row r="13" spans="1:11" s="13" customFormat="1" ht="14.25" customHeight="1" x14ac:dyDescent="0.2">
      <c r="A13" s="18"/>
      <c r="B13" s="19" t="s">
        <v>16</v>
      </c>
      <c r="C13" s="20">
        <f>186916053.37-C84</f>
        <v>147624554.63999999</v>
      </c>
      <c r="D13" s="20">
        <f t="shared" si="2"/>
        <v>-1990189.9499999881</v>
      </c>
      <c r="E13" s="21">
        <f>186916053.37-E84</f>
        <v>145634364.69</v>
      </c>
      <c r="F13" s="21">
        <f>66643104.68-F84</f>
        <v>55754990.390000001</v>
      </c>
      <c r="G13" s="22">
        <f>66646014.68-G84</f>
        <v>55757900.390000001</v>
      </c>
      <c r="H13" s="20">
        <f t="shared" si="3"/>
        <v>89879374.299999997</v>
      </c>
      <c r="I13" s="1"/>
      <c r="K13" s="1"/>
    </row>
    <row r="14" spans="1:11" s="13" customFormat="1" ht="14.25" customHeight="1" x14ac:dyDescent="0.2">
      <c r="A14" s="18"/>
      <c r="B14" s="19" t="s">
        <v>17</v>
      </c>
      <c r="C14" s="20">
        <f>101431199.03-C85</f>
        <v>76460071.120000005</v>
      </c>
      <c r="D14" s="20">
        <f t="shared" si="2"/>
        <v>2165288.6599999964</v>
      </c>
      <c r="E14" s="21">
        <f>101431199.03-E85</f>
        <v>78625359.780000001</v>
      </c>
      <c r="F14" s="21">
        <f>49033341.29-F85</f>
        <v>36124365.710000001</v>
      </c>
      <c r="G14" s="22">
        <f>49033341.29-G85</f>
        <v>36124365.710000001</v>
      </c>
      <c r="H14" s="20">
        <f t="shared" si="3"/>
        <v>42500994.07</v>
      </c>
      <c r="I14" s="1"/>
      <c r="K14" s="1"/>
    </row>
    <row r="15" spans="1:11" s="13" customFormat="1" ht="14.25" customHeight="1" x14ac:dyDescent="0.2">
      <c r="A15" s="18"/>
      <c r="B15" s="19" t="s">
        <v>18</v>
      </c>
      <c r="C15" s="20">
        <f>123729850.06-C86</f>
        <v>79796610.760000005</v>
      </c>
      <c r="D15" s="20">
        <f t="shared" si="2"/>
        <v>-713419.62000000477</v>
      </c>
      <c r="E15" s="21">
        <f>123729850.06-E86</f>
        <v>79083191.140000001</v>
      </c>
      <c r="F15" s="21">
        <f>60329453.71-F86</f>
        <v>39927890.100000001</v>
      </c>
      <c r="G15" s="22">
        <f>60272838.03-G86</f>
        <v>39871274.420000002</v>
      </c>
      <c r="H15" s="20">
        <f t="shared" si="3"/>
        <v>39155301.039999999</v>
      </c>
      <c r="I15" s="1"/>
      <c r="K15" s="1"/>
    </row>
    <row r="16" spans="1:11" s="13" customFormat="1" ht="14.25" customHeight="1" x14ac:dyDescent="0.2">
      <c r="A16" s="18"/>
      <c r="B16" s="19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1"/>
      <c r="K16" s="1"/>
    </row>
    <row r="17" spans="1:11" s="13" customFormat="1" ht="14.25" customHeight="1" x14ac:dyDescent="0.2">
      <c r="A17" s="18"/>
      <c r="B17" s="19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"/>
      <c r="K17" s="1"/>
    </row>
    <row r="18" spans="1:11" s="13" customFormat="1" ht="14.25" customHeight="1" x14ac:dyDescent="0.2">
      <c r="A18" s="24" t="s">
        <v>21</v>
      </c>
      <c r="B18" s="19"/>
      <c r="C18" s="10">
        <f t="shared" ref="C18:H18" si="4">SUM(C19:C27)</f>
        <v>108778395.45999999</v>
      </c>
      <c r="D18" s="10">
        <f t="shared" si="4"/>
        <v>14533657.699999999</v>
      </c>
      <c r="E18" s="10">
        <f t="shared" si="4"/>
        <v>123312053.16</v>
      </c>
      <c r="F18" s="10">
        <f t="shared" si="4"/>
        <v>74662564.99000001</v>
      </c>
      <c r="G18" s="17">
        <f t="shared" si="4"/>
        <v>69586349.060000017</v>
      </c>
      <c r="H18" s="10">
        <f t="shared" si="4"/>
        <v>48649488.170000002</v>
      </c>
      <c r="I18" s="1"/>
      <c r="K18" s="1"/>
    </row>
    <row r="19" spans="1:11" s="13" customFormat="1" ht="14.25" customHeight="1" x14ac:dyDescent="0.2">
      <c r="A19" s="18"/>
      <c r="B19" s="19" t="s">
        <v>22</v>
      </c>
      <c r="C19" s="20">
        <f>10707005.99-C90</f>
        <v>10608560.57</v>
      </c>
      <c r="D19" s="20">
        <f t="shared" si="2"/>
        <v>34376.810000000522</v>
      </c>
      <c r="E19" s="21">
        <f>10805451.41-E90</f>
        <v>10642937.380000001</v>
      </c>
      <c r="F19" s="21">
        <f>3198274.85-F90</f>
        <v>3165916.52</v>
      </c>
      <c r="G19" s="22">
        <f>2055600.9-G90</f>
        <v>2023242.5699999998</v>
      </c>
      <c r="H19" s="20">
        <f t="shared" si="3"/>
        <v>7477020.8600000013</v>
      </c>
      <c r="I19" s="1"/>
      <c r="K19" s="1"/>
    </row>
    <row r="20" spans="1:11" s="13" customFormat="1" ht="14.25" customHeight="1" x14ac:dyDescent="0.2">
      <c r="A20" s="18"/>
      <c r="B20" s="19" t="s">
        <v>23</v>
      </c>
      <c r="C20" s="20">
        <f>15366440.46-C91</f>
        <v>15366440.460000001</v>
      </c>
      <c r="D20" s="20">
        <f t="shared" si="2"/>
        <v>-43561.589999999851</v>
      </c>
      <c r="E20" s="21">
        <f>15366440.46-E91</f>
        <v>15322878.870000001</v>
      </c>
      <c r="F20" s="21">
        <f>5380507.53-F91</f>
        <v>5380507.5300000003</v>
      </c>
      <c r="G20" s="22">
        <f>4444480.49-G91</f>
        <v>4444480.49</v>
      </c>
      <c r="H20" s="20">
        <f t="shared" si="3"/>
        <v>9942371.3399999999</v>
      </c>
      <c r="I20" s="1"/>
      <c r="K20" s="1"/>
    </row>
    <row r="21" spans="1:11" s="13" customFormat="1" ht="14.25" customHeight="1" x14ac:dyDescent="0.2">
      <c r="A21" s="18"/>
      <c r="B21" s="19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"/>
      <c r="K21" s="1"/>
    </row>
    <row r="22" spans="1:11" s="13" customFormat="1" ht="14.25" customHeight="1" x14ac:dyDescent="0.2">
      <c r="A22" s="18"/>
      <c r="B22" s="19" t="s">
        <v>25</v>
      </c>
      <c r="C22" s="23">
        <f>33178481.29-C93</f>
        <v>33178481.289999999</v>
      </c>
      <c r="D22" s="23">
        <f t="shared" si="2"/>
        <v>11000000.119999997</v>
      </c>
      <c r="E22" s="25">
        <f>44178481.41-E93</f>
        <v>44178481.409999996</v>
      </c>
      <c r="F22" s="25">
        <f>46010395.18-F93</f>
        <v>46010395.18</v>
      </c>
      <c r="G22" s="26">
        <f>44685718.13-G93</f>
        <v>44685718.130000003</v>
      </c>
      <c r="H22" s="23">
        <f t="shared" si="3"/>
        <v>-1831913.7700000033</v>
      </c>
      <c r="I22" s="1"/>
      <c r="K22" s="1"/>
    </row>
    <row r="23" spans="1:11" s="13" customFormat="1" ht="14.25" customHeight="1" x14ac:dyDescent="0.25">
      <c r="A23" s="18"/>
      <c r="B23" s="19" t="s">
        <v>26</v>
      </c>
      <c r="C23" s="23">
        <f>8821882.22-C94</f>
        <v>8821882.2200000007</v>
      </c>
      <c r="D23" s="23">
        <f t="shared" si="2"/>
        <v>0</v>
      </c>
      <c r="E23" s="25">
        <f>8821882.22-E94</f>
        <v>8821882.2200000007</v>
      </c>
      <c r="F23" s="25">
        <f>3035588.35-F94</f>
        <v>3035588.35</v>
      </c>
      <c r="G23" s="27">
        <f>2193015.68-G94</f>
        <v>2193015.6800000002</v>
      </c>
      <c r="H23" s="23">
        <f t="shared" si="3"/>
        <v>5786293.870000001</v>
      </c>
      <c r="I23" s="1"/>
      <c r="K23" s="1"/>
    </row>
    <row r="24" spans="1:11" s="13" customFormat="1" ht="14.25" customHeight="1" x14ac:dyDescent="0.2">
      <c r="A24" s="18"/>
      <c r="B24" s="19" t="s">
        <v>27</v>
      </c>
      <c r="C24" s="23">
        <f>56740856.08-C95</f>
        <v>32009814.5</v>
      </c>
      <c r="D24" s="23">
        <f t="shared" si="2"/>
        <v>813111.6799999997</v>
      </c>
      <c r="E24" s="25">
        <f>56740856.08-E95</f>
        <v>32822926.18</v>
      </c>
      <c r="F24" s="25">
        <f>22309092.99-F95</f>
        <v>14518073.509999998</v>
      </c>
      <c r="G24" s="26">
        <f>22259938.09-G95</f>
        <v>14468918.609999999</v>
      </c>
      <c r="H24" s="23">
        <f t="shared" si="3"/>
        <v>18304852.670000002</v>
      </c>
      <c r="I24" s="1"/>
      <c r="K24" s="1"/>
    </row>
    <row r="25" spans="1:11" s="31" customFormat="1" ht="14.25" customHeight="1" x14ac:dyDescent="0.2">
      <c r="A25" s="28"/>
      <c r="B25" s="29" t="s">
        <v>28</v>
      </c>
      <c r="C25" s="23">
        <f>9164738.47-C96</f>
        <v>3421738.4700000007</v>
      </c>
      <c r="D25" s="23">
        <f t="shared" si="2"/>
        <v>0</v>
      </c>
      <c r="E25" s="25">
        <f>9164738.47-E96</f>
        <v>3421738.4700000007</v>
      </c>
      <c r="F25" s="25">
        <f>872904.52-F96</f>
        <v>-190470.44999999995</v>
      </c>
      <c r="G25" s="26">
        <f>791143.34-G96</f>
        <v>-272231.63</v>
      </c>
      <c r="H25" s="23">
        <f t="shared" si="3"/>
        <v>3612208.9200000009</v>
      </c>
      <c r="I25" s="30"/>
      <c r="K25" s="30"/>
    </row>
    <row r="26" spans="1:11" s="31" customFormat="1" ht="14.25" customHeight="1" x14ac:dyDescent="0.2">
      <c r="A26" s="28"/>
      <c r="B26" s="29" t="s">
        <v>29</v>
      </c>
      <c r="C26" s="25">
        <f>10000-C97</f>
        <v>-459059.4</v>
      </c>
      <c r="D26" s="25">
        <f t="shared" si="2"/>
        <v>3338112.4</v>
      </c>
      <c r="E26" s="25">
        <v>2879053</v>
      </c>
      <c r="F26" s="25">
        <f>469059.4-F97</f>
        <v>469059.4</v>
      </c>
      <c r="G26" s="26">
        <f>469059.4-G97</f>
        <v>469059.4</v>
      </c>
      <c r="H26" s="23">
        <f t="shared" si="3"/>
        <v>2409993.6</v>
      </c>
      <c r="I26" s="30"/>
      <c r="K26" s="30"/>
    </row>
    <row r="27" spans="1:11" s="13" customFormat="1" ht="14.25" customHeight="1" x14ac:dyDescent="0.2">
      <c r="A27" s="18"/>
      <c r="B27" s="19" t="s">
        <v>30</v>
      </c>
      <c r="C27" s="23">
        <f>8188566.76-C98</f>
        <v>5830537.3499999996</v>
      </c>
      <c r="D27" s="23">
        <f t="shared" si="2"/>
        <v>-608381.71999999974</v>
      </c>
      <c r="E27" s="25">
        <f>8188566.76-E98</f>
        <v>5222155.63</v>
      </c>
      <c r="F27" s="25">
        <f>2273494.95-F98</f>
        <v>2273494.9500000002</v>
      </c>
      <c r="G27" s="26">
        <f>1574145.81-G98</f>
        <v>1574145.81</v>
      </c>
      <c r="H27" s="23">
        <f t="shared" si="3"/>
        <v>2948660.6799999997</v>
      </c>
      <c r="I27" s="1"/>
      <c r="K27" s="1"/>
    </row>
    <row r="28" spans="1:11" s="13" customFormat="1" ht="14.25" customHeight="1" x14ac:dyDescent="0.2">
      <c r="A28" s="24" t="s">
        <v>31</v>
      </c>
      <c r="B28" s="32"/>
      <c r="C28" s="33">
        <f t="shared" ref="C28:H28" si="5">SUM(C29:C37)</f>
        <v>344939825.44000006</v>
      </c>
      <c r="D28" s="33">
        <f t="shared" si="5"/>
        <v>20025812.70999999</v>
      </c>
      <c r="E28" s="33">
        <f t="shared" si="5"/>
        <v>364965638.15000004</v>
      </c>
      <c r="F28" s="33">
        <f t="shared" si="5"/>
        <v>166917970.50999999</v>
      </c>
      <c r="G28" s="34">
        <f t="shared" si="5"/>
        <v>154409959.98000002</v>
      </c>
      <c r="H28" s="33">
        <f t="shared" si="5"/>
        <v>198047667.64000005</v>
      </c>
      <c r="I28" s="1"/>
      <c r="K28" s="1"/>
    </row>
    <row r="29" spans="1:11" s="13" customFormat="1" ht="14.25" customHeight="1" x14ac:dyDescent="0.2">
      <c r="A29" s="18"/>
      <c r="B29" s="19" t="s">
        <v>32</v>
      </c>
      <c r="C29" s="23">
        <f>122017336.56-C100</f>
        <v>122017336.56</v>
      </c>
      <c r="D29" s="23">
        <f t="shared" si="2"/>
        <v>-750</v>
      </c>
      <c r="E29" s="25">
        <f>122017336.56-E100</f>
        <v>122016586.56</v>
      </c>
      <c r="F29" s="25">
        <f>50865385.83-F100</f>
        <v>50865385.829999998</v>
      </c>
      <c r="G29" s="26">
        <f>49129309.63-G100</f>
        <v>49129309.630000003</v>
      </c>
      <c r="H29" s="23">
        <f t="shared" si="3"/>
        <v>71151200.730000004</v>
      </c>
      <c r="I29" s="1"/>
      <c r="K29" s="1"/>
    </row>
    <row r="30" spans="1:11" s="13" customFormat="1" ht="14.25" customHeight="1" x14ac:dyDescent="0.2">
      <c r="A30" s="18"/>
      <c r="B30" s="19" t="s">
        <v>33</v>
      </c>
      <c r="C30" s="23">
        <f>96356872.76-C101</f>
        <v>26856872.760000005</v>
      </c>
      <c r="D30" s="23">
        <f t="shared" si="2"/>
        <v>64871075.399999991</v>
      </c>
      <c r="E30" s="25">
        <f>120356872.76-E101</f>
        <v>91727948.159999996</v>
      </c>
      <c r="F30" s="25">
        <f>45059626.9-F101</f>
        <v>31196919.640000001</v>
      </c>
      <c r="G30" s="26">
        <f>39194769-G101</f>
        <v>25332061.740000002</v>
      </c>
      <c r="H30" s="23">
        <f t="shared" si="3"/>
        <v>60531028.519999996</v>
      </c>
      <c r="I30" s="1"/>
      <c r="K30" s="1"/>
    </row>
    <row r="31" spans="1:11" s="13" customFormat="1" ht="14.25" customHeight="1" x14ac:dyDescent="0.2">
      <c r="A31" s="18"/>
      <c r="B31" s="19" t="s">
        <v>34</v>
      </c>
      <c r="C31" s="23">
        <f>77044204-C102</f>
        <v>59073547.399999999</v>
      </c>
      <c r="D31" s="23">
        <f t="shared" si="2"/>
        <v>-3335656.549999997</v>
      </c>
      <c r="E31" s="25">
        <f>78818912-E102</f>
        <v>55737890.850000001</v>
      </c>
      <c r="F31" s="25">
        <f>29910007.18-F102</f>
        <v>24733067.18</v>
      </c>
      <c r="G31" s="26">
        <f>28963876.53-G102</f>
        <v>23786936.530000001</v>
      </c>
      <c r="H31" s="23">
        <f t="shared" si="3"/>
        <v>31004823.670000002</v>
      </c>
      <c r="I31" s="1"/>
      <c r="K31" s="1"/>
    </row>
    <row r="32" spans="1:11" s="13" customFormat="1" ht="14.25" customHeight="1" x14ac:dyDescent="0.2">
      <c r="A32" s="18"/>
      <c r="B32" s="19" t="s">
        <v>35</v>
      </c>
      <c r="C32" s="23">
        <f>13739922.61-C103</f>
        <v>7168243.5199999996</v>
      </c>
      <c r="D32" s="23">
        <f t="shared" si="2"/>
        <v>2390.769999999553</v>
      </c>
      <c r="E32" s="25">
        <f>13739922.61-E103</f>
        <v>7170634.2899999991</v>
      </c>
      <c r="F32" s="25">
        <f>16230650.66-F103</f>
        <v>9664455.4800000004</v>
      </c>
      <c r="G32" s="26">
        <f>15803876.27-G103</f>
        <v>9237681.0899999999</v>
      </c>
      <c r="H32" s="23">
        <f t="shared" si="3"/>
        <v>-2493821.1900000013</v>
      </c>
      <c r="I32" s="1"/>
      <c r="K32" s="1"/>
    </row>
    <row r="33" spans="1:11" s="13" customFormat="1" ht="14.25" customHeight="1" x14ac:dyDescent="0.2">
      <c r="A33" s="18"/>
      <c r="B33" s="19" t="s">
        <v>36</v>
      </c>
      <c r="C33" s="23">
        <f>113816403.79-C104</f>
        <v>43316403.790000007</v>
      </c>
      <c r="D33" s="23">
        <f t="shared" si="2"/>
        <v>-41442182.859999999</v>
      </c>
      <c r="E33" s="25">
        <f>113816403.79-E104</f>
        <v>1874220.9300000072</v>
      </c>
      <c r="F33" s="25">
        <f>66887186.4-F104</f>
        <v>13076052.369999997</v>
      </c>
      <c r="G33" s="26">
        <f>64457695.34-G104</f>
        <v>10646561.310000002</v>
      </c>
      <c r="H33" s="23">
        <f t="shared" si="3"/>
        <v>-11201831.43999999</v>
      </c>
      <c r="I33" s="1"/>
      <c r="K33" s="1"/>
    </row>
    <row r="34" spans="1:11" s="13" customFormat="1" ht="14.25" customHeight="1" x14ac:dyDescent="0.2">
      <c r="A34" s="18"/>
      <c r="B34" s="19" t="s">
        <v>37</v>
      </c>
      <c r="C34" s="23">
        <f>31562400-C105</f>
        <v>31562400</v>
      </c>
      <c r="D34" s="23">
        <f t="shared" si="2"/>
        <v>-67864</v>
      </c>
      <c r="E34" s="25">
        <f>31562400-E105</f>
        <v>31494536</v>
      </c>
      <c r="F34" s="25">
        <f>12711529.39-F105</f>
        <v>12693665.390000001</v>
      </c>
      <c r="G34" s="26">
        <f>12937250.3-G105</f>
        <v>12919386.300000001</v>
      </c>
      <c r="H34" s="23">
        <f t="shared" si="3"/>
        <v>18800870.609999999</v>
      </c>
      <c r="I34" s="1"/>
      <c r="K34" s="1"/>
    </row>
    <row r="35" spans="1:11" s="13" customFormat="1" ht="14.25" customHeight="1" x14ac:dyDescent="0.2">
      <c r="A35" s="18"/>
      <c r="B35" s="19" t="s">
        <v>38</v>
      </c>
      <c r="C35" s="23">
        <f>8422500.76-C106</f>
        <v>8422500.7599999998</v>
      </c>
      <c r="D35" s="23">
        <f t="shared" si="2"/>
        <v>-1200</v>
      </c>
      <c r="E35" s="25">
        <f>8422500.76-E106</f>
        <v>8421300.7599999998</v>
      </c>
      <c r="F35" s="25">
        <f>853164.68-F106</f>
        <v>853164.68</v>
      </c>
      <c r="G35" s="26">
        <f>853164.68-G106</f>
        <v>853164.68</v>
      </c>
      <c r="H35" s="23">
        <f t="shared" si="3"/>
        <v>7568136.0800000001</v>
      </c>
      <c r="I35" s="1"/>
      <c r="K35" s="1"/>
    </row>
    <row r="36" spans="1:11" s="13" customFormat="1" ht="14.25" customHeight="1" x14ac:dyDescent="0.2">
      <c r="A36" s="18"/>
      <c r="B36" s="19" t="s">
        <v>39</v>
      </c>
      <c r="C36" s="23">
        <f>26046684.99-C107</f>
        <v>26046684.989999998</v>
      </c>
      <c r="D36" s="23">
        <f t="shared" si="2"/>
        <v>0</v>
      </c>
      <c r="E36" s="25">
        <f>26046684.99-E107</f>
        <v>26046684.989999998</v>
      </c>
      <c r="F36" s="25">
        <f>8883885.75-F107</f>
        <v>8883885.75</v>
      </c>
      <c r="G36" s="26">
        <f>8046721.55-G107</f>
        <v>8046721.5499999998</v>
      </c>
      <c r="H36" s="23">
        <f t="shared" si="3"/>
        <v>17162799.239999998</v>
      </c>
      <c r="I36" s="1"/>
      <c r="K36" s="1"/>
    </row>
    <row r="37" spans="1:11" s="13" customFormat="1" ht="14.25" customHeight="1" x14ac:dyDescent="0.2">
      <c r="A37" s="18"/>
      <c r="B37" s="19" t="s">
        <v>40</v>
      </c>
      <c r="C37" s="23">
        <f>20475835.66-C108</f>
        <v>20475835.66</v>
      </c>
      <c r="D37" s="23">
        <f t="shared" si="2"/>
        <v>-5.000000074505806E-2</v>
      </c>
      <c r="E37" s="25">
        <f>20475835.66-E108</f>
        <v>20475835.609999999</v>
      </c>
      <c r="F37" s="25">
        <f>14951374.19-F108</f>
        <v>14951374.189999999</v>
      </c>
      <c r="G37" s="26">
        <f>14458137.15-G108</f>
        <v>14458137.15</v>
      </c>
      <c r="H37" s="23">
        <f t="shared" si="3"/>
        <v>5524461.4199999999</v>
      </c>
      <c r="I37" s="1"/>
      <c r="K37" s="1"/>
    </row>
    <row r="38" spans="1:11" s="13" customFormat="1" ht="14.25" customHeight="1" x14ac:dyDescent="0.2">
      <c r="A38" s="24" t="s">
        <v>41</v>
      </c>
      <c r="B38" s="32"/>
      <c r="C38" s="33">
        <f t="shared" ref="C38:H38" si="6">SUM(C39:C43)</f>
        <v>316875339.86000001</v>
      </c>
      <c r="D38" s="33">
        <f t="shared" si="6"/>
        <v>-8598072.799999997</v>
      </c>
      <c r="E38" s="33">
        <f t="shared" si="6"/>
        <v>308277267.06</v>
      </c>
      <c r="F38" s="33">
        <f t="shared" si="6"/>
        <v>169025914.65000001</v>
      </c>
      <c r="G38" s="34">
        <f t="shared" si="6"/>
        <v>168531205.02000001</v>
      </c>
      <c r="H38" s="33">
        <f t="shared" si="6"/>
        <v>139251352.41000003</v>
      </c>
      <c r="I38" s="1"/>
      <c r="K38" s="1"/>
    </row>
    <row r="39" spans="1:11" s="13" customFormat="1" ht="14.25" customHeight="1" x14ac:dyDescent="0.2">
      <c r="A39" s="18"/>
      <c r="B39" s="19" t="s">
        <v>42</v>
      </c>
      <c r="C39" s="23">
        <f>87400000-C110</f>
        <v>87400000</v>
      </c>
      <c r="D39" s="23">
        <f t="shared" si="2"/>
        <v>0</v>
      </c>
      <c r="E39" s="25">
        <f>87400000-E110</f>
        <v>87400000</v>
      </c>
      <c r="F39" s="25">
        <f>43260163.27-F110</f>
        <v>43260163.270000003</v>
      </c>
      <c r="G39" s="26">
        <f>43260163.27-G110</f>
        <v>43260163.270000003</v>
      </c>
      <c r="H39" s="23">
        <f t="shared" si="3"/>
        <v>44139836.729999997</v>
      </c>
      <c r="I39" s="1"/>
      <c r="K39" s="1"/>
    </row>
    <row r="40" spans="1:11" s="13" customFormat="1" ht="14.25" customHeight="1" x14ac:dyDescent="0.2">
      <c r="A40" s="18"/>
      <c r="B40" s="19" t="s">
        <v>43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1"/>
      <c r="K40" s="1"/>
    </row>
    <row r="41" spans="1:11" s="13" customFormat="1" ht="14.25" customHeight="1" x14ac:dyDescent="0.2">
      <c r="A41" s="18"/>
      <c r="B41" s="19" t="s">
        <v>44</v>
      </c>
      <c r="C41" s="23">
        <f>164615277.05-C112</f>
        <v>164615277.05000001</v>
      </c>
      <c r="D41" s="23">
        <f t="shared" si="2"/>
        <v>-7400000</v>
      </c>
      <c r="E41" s="25">
        <f>164615277.05-E112</f>
        <v>157215277.05000001</v>
      </c>
      <c r="F41" s="25">
        <f>108960969.7-F112</f>
        <v>108960969.7</v>
      </c>
      <c r="G41" s="26">
        <f>108727662.07-G112</f>
        <v>108727662.06999999</v>
      </c>
      <c r="H41" s="23">
        <f t="shared" si="3"/>
        <v>48254307.350000009</v>
      </c>
      <c r="I41" s="1"/>
      <c r="K41" s="1"/>
    </row>
    <row r="42" spans="1:11" s="13" customFormat="1" ht="14.25" customHeight="1" x14ac:dyDescent="0.2">
      <c r="A42" s="18"/>
      <c r="B42" s="19" t="s">
        <v>45</v>
      </c>
      <c r="C42" s="23">
        <f>63760062.81-C113</f>
        <v>63760062.810000002</v>
      </c>
      <c r="D42" s="23">
        <f t="shared" si="2"/>
        <v>-1198072.799999997</v>
      </c>
      <c r="E42" s="25">
        <f>63760062.81-E113</f>
        <v>62561990.010000005</v>
      </c>
      <c r="F42" s="25">
        <f>16308338.43-F113</f>
        <v>16308338.43</v>
      </c>
      <c r="G42" s="26">
        <f>16046936.43-G112</f>
        <v>16046936.43</v>
      </c>
      <c r="H42" s="23">
        <f t="shared" si="3"/>
        <v>46253651.580000006</v>
      </c>
      <c r="I42" s="1"/>
      <c r="K42" s="1"/>
    </row>
    <row r="43" spans="1:11" s="13" customFormat="1" ht="14.25" customHeight="1" x14ac:dyDescent="0.2">
      <c r="A43" s="18"/>
      <c r="B43" s="19" t="s">
        <v>46</v>
      </c>
      <c r="C43" s="23">
        <f>1100000-C114</f>
        <v>1100000</v>
      </c>
      <c r="D43" s="23">
        <f t="shared" si="2"/>
        <v>0</v>
      </c>
      <c r="E43" s="25">
        <f>1100000-E114</f>
        <v>1100000</v>
      </c>
      <c r="F43" s="25">
        <f>496443.25-F114</f>
        <v>496443.25</v>
      </c>
      <c r="G43" s="26">
        <f>496443.25-G113</f>
        <v>496443.25</v>
      </c>
      <c r="H43" s="23">
        <f t="shared" si="3"/>
        <v>603556.75</v>
      </c>
      <c r="I43" s="1"/>
      <c r="K43" s="1"/>
    </row>
    <row r="44" spans="1:11" s="13" customFormat="1" ht="14.25" customHeight="1" x14ac:dyDescent="0.2">
      <c r="A44" s="18"/>
      <c r="B44" s="19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1"/>
      <c r="K44" s="1"/>
    </row>
    <row r="45" spans="1:11" s="13" customFormat="1" ht="14.25" customHeight="1" x14ac:dyDescent="0.2">
      <c r="A45" s="18"/>
      <c r="B45" s="19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1"/>
      <c r="K45" s="1"/>
    </row>
    <row r="46" spans="1:11" s="13" customFormat="1" ht="14.25" customHeight="1" x14ac:dyDescent="0.2">
      <c r="A46" s="18"/>
      <c r="B46" s="19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1"/>
      <c r="K46" s="1"/>
    </row>
    <row r="47" spans="1:11" s="13" customFormat="1" ht="14.25" customHeight="1" x14ac:dyDescent="0.2">
      <c r="A47" s="18"/>
      <c r="B47" s="19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1"/>
      <c r="K47" s="1"/>
    </row>
    <row r="48" spans="1:11" s="13" customFormat="1" ht="14.25" customHeight="1" x14ac:dyDescent="0.2">
      <c r="A48" s="24" t="s">
        <v>51</v>
      </c>
      <c r="B48" s="32"/>
      <c r="C48" s="33">
        <f t="shared" ref="C48:H48" si="7">SUM(C55)</f>
        <v>39898548.689999998</v>
      </c>
      <c r="D48" s="33">
        <f t="shared" si="7"/>
        <v>-2757772.2800000012</v>
      </c>
      <c r="E48" s="33">
        <f t="shared" si="7"/>
        <v>37140776.409999996</v>
      </c>
      <c r="F48" s="33">
        <f t="shared" si="7"/>
        <v>7579407.5700000003</v>
      </c>
      <c r="G48" s="34">
        <f t="shared" si="7"/>
        <v>254863.44</v>
      </c>
      <c r="H48" s="33">
        <f t="shared" si="7"/>
        <v>29561368.839999996</v>
      </c>
      <c r="I48" s="1"/>
      <c r="K48" s="1"/>
    </row>
    <row r="49" spans="1:11" s="13" customFormat="1" ht="14.25" customHeight="1" x14ac:dyDescent="0.2">
      <c r="A49" s="24"/>
      <c r="B49" s="19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1"/>
      <c r="K49" s="1"/>
    </row>
    <row r="50" spans="1:11" s="13" customFormat="1" ht="14.25" customHeight="1" x14ac:dyDescent="0.2">
      <c r="A50" s="24"/>
      <c r="B50" s="19" t="s">
        <v>53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"/>
      <c r="K50" s="1"/>
    </row>
    <row r="51" spans="1:11" s="13" customFormat="1" ht="14.25" customHeight="1" x14ac:dyDescent="0.2">
      <c r="A51" s="24"/>
      <c r="B51" s="19" t="s">
        <v>54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"/>
      <c r="K51" s="1"/>
    </row>
    <row r="52" spans="1:11" s="13" customFormat="1" ht="14.25" customHeight="1" x14ac:dyDescent="0.2">
      <c r="A52" s="24"/>
      <c r="B52" s="19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1"/>
      <c r="K52" s="1"/>
    </row>
    <row r="53" spans="1:11" s="13" customFormat="1" ht="14.25" customHeight="1" x14ac:dyDescent="0.2">
      <c r="A53" s="24"/>
      <c r="B53" s="19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1"/>
      <c r="K53" s="1"/>
    </row>
    <row r="54" spans="1:11" s="13" customFormat="1" ht="14.25" customHeight="1" x14ac:dyDescent="0.2">
      <c r="A54" s="24"/>
      <c r="B54" s="19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1"/>
      <c r="K54" s="1"/>
    </row>
    <row r="55" spans="1:11" s="13" customFormat="1" ht="14.25" customHeight="1" x14ac:dyDescent="0.2">
      <c r="A55" s="18"/>
      <c r="B55" s="19" t="s">
        <v>51</v>
      </c>
      <c r="C55" s="23">
        <f>39898548.69-C127</f>
        <v>39898548.689999998</v>
      </c>
      <c r="D55" s="23">
        <f t="shared" si="2"/>
        <v>-2757772.2800000012</v>
      </c>
      <c r="E55" s="25">
        <f>39898548.69-E127</f>
        <v>37140776.409999996</v>
      </c>
      <c r="F55" s="25">
        <f>7579407.57-F127</f>
        <v>7579407.5700000003</v>
      </c>
      <c r="G55" s="26">
        <f>254863.44-G119</f>
        <v>254863.44</v>
      </c>
      <c r="H55" s="25">
        <f t="shared" si="3"/>
        <v>29561368.839999996</v>
      </c>
      <c r="I55" s="1"/>
      <c r="K55" s="1"/>
    </row>
    <row r="56" spans="1:11" s="13" customFormat="1" ht="14.25" customHeight="1" x14ac:dyDescent="0.2">
      <c r="A56" s="24" t="s">
        <v>58</v>
      </c>
      <c r="B56" s="19"/>
      <c r="C56" s="33">
        <f t="shared" ref="C56:H56" si="8">SUM(C57:C59)</f>
        <v>52507369.780000001</v>
      </c>
      <c r="D56" s="33">
        <f t="shared" si="8"/>
        <v>-25698460.959999979</v>
      </c>
      <c r="E56" s="33">
        <f t="shared" si="8"/>
        <v>26808908.820000023</v>
      </c>
      <c r="F56" s="33">
        <f t="shared" si="8"/>
        <v>67094676.489999995</v>
      </c>
      <c r="G56" s="34">
        <f t="shared" si="8"/>
        <v>63049905.969999999</v>
      </c>
      <c r="H56" s="33">
        <f t="shared" si="8"/>
        <v>-40285767.669999972</v>
      </c>
      <c r="I56" s="1"/>
      <c r="K56" s="1"/>
    </row>
    <row r="57" spans="1:11" s="13" customFormat="1" ht="14.25" customHeight="1" x14ac:dyDescent="0.2">
      <c r="A57" s="18"/>
      <c r="B57" s="19" t="s">
        <v>59</v>
      </c>
      <c r="C57" s="23">
        <f>132461581.78-C128</f>
        <v>52507369.780000001</v>
      </c>
      <c r="D57" s="23">
        <f>E57-C57</f>
        <v>-25698460.959999979</v>
      </c>
      <c r="E57" s="25">
        <f>188439516.78-E129</f>
        <v>26808908.820000023</v>
      </c>
      <c r="F57" s="25">
        <f>105868539.94-F129</f>
        <v>67094676.489999995</v>
      </c>
      <c r="G57" s="26">
        <f>101823769.42-G128</f>
        <v>63049905.969999999</v>
      </c>
      <c r="H57" s="23">
        <f t="shared" si="3"/>
        <v>-40285767.669999972</v>
      </c>
      <c r="I57" s="1"/>
      <c r="K57" s="1"/>
    </row>
    <row r="58" spans="1:11" s="13" customFormat="1" ht="14.25" customHeight="1" x14ac:dyDescent="0.2">
      <c r="A58" s="18"/>
      <c r="B58" s="19" t="s">
        <v>60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"/>
      <c r="K58" s="1"/>
    </row>
    <row r="59" spans="1:11" s="13" customFormat="1" ht="14.25" customHeight="1" x14ac:dyDescent="0.2">
      <c r="A59" s="18"/>
      <c r="B59" s="19" t="s">
        <v>61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1"/>
      <c r="K59" s="1"/>
    </row>
    <row r="60" spans="1:11" s="13" customFormat="1" ht="14.25" customHeight="1" x14ac:dyDescent="0.2">
      <c r="A60" s="24" t="s">
        <v>62</v>
      </c>
      <c r="B60" s="19"/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1"/>
      <c r="K60" s="1"/>
    </row>
    <row r="61" spans="1:11" s="13" customFormat="1" ht="14.25" customHeight="1" x14ac:dyDescent="0.2">
      <c r="A61" s="24"/>
      <c r="B61" s="19" t="s">
        <v>63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1"/>
      <c r="K61" s="1"/>
    </row>
    <row r="62" spans="1:11" s="13" customFormat="1" ht="14.25" customHeight="1" x14ac:dyDescent="0.2">
      <c r="A62" s="24"/>
      <c r="B62" s="19" t="s">
        <v>64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1"/>
      <c r="K62" s="1"/>
    </row>
    <row r="63" spans="1:11" s="13" customFormat="1" ht="14.25" customHeight="1" x14ac:dyDescent="0.2">
      <c r="A63" s="24"/>
      <c r="B63" s="19" t="s">
        <v>65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1"/>
      <c r="K63" s="1"/>
    </row>
    <row r="64" spans="1:11" s="13" customFormat="1" ht="14.25" customHeight="1" x14ac:dyDescent="0.2">
      <c r="A64" s="24"/>
      <c r="B64" s="19" t="s">
        <v>66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1"/>
      <c r="K64" s="1"/>
    </row>
    <row r="65" spans="1:11" s="13" customFormat="1" ht="14.25" customHeight="1" x14ac:dyDescent="0.2">
      <c r="A65" s="24"/>
      <c r="B65" s="19" t="s">
        <v>67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1"/>
      <c r="K65" s="1"/>
    </row>
    <row r="66" spans="1:11" s="13" customFormat="1" ht="14.25" customHeight="1" x14ac:dyDescent="0.2">
      <c r="A66" s="24"/>
      <c r="B66" s="19" t="s">
        <v>68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1"/>
      <c r="K66" s="1"/>
    </row>
    <row r="67" spans="1:11" s="13" customFormat="1" ht="14.25" customHeight="1" x14ac:dyDescent="0.2">
      <c r="A67" s="24"/>
      <c r="B67" s="19" t="s">
        <v>69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1"/>
      <c r="K67" s="1"/>
    </row>
    <row r="68" spans="1:11" s="13" customFormat="1" ht="14.25" customHeight="1" x14ac:dyDescent="0.2">
      <c r="A68" s="24" t="s">
        <v>70</v>
      </c>
      <c r="B68" s="19"/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1"/>
      <c r="K68" s="1"/>
    </row>
    <row r="69" spans="1:11" s="13" customFormat="1" ht="14.25" customHeight="1" x14ac:dyDescent="0.2">
      <c r="A69" s="24"/>
      <c r="B69" s="19" t="s">
        <v>71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1"/>
      <c r="K69" s="1"/>
    </row>
    <row r="70" spans="1:11" s="13" customFormat="1" ht="14.25" customHeight="1" x14ac:dyDescent="0.2">
      <c r="A70" s="24"/>
      <c r="B70" s="19" t="s">
        <v>72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1"/>
      <c r="K70" s="1"/>
    </row>
    <row r="71" spans="1:11" s="13" customFormat="1" ht="14.25" customHeight="1" x14ac:dyDescent="0.2">
      <c r="A71" s="24"/>
      <c r="B71" s="19" t="s">
        <v>73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1"/>
      <c r="K71" s="1"/>
    </row>
    <row r="72" spans="1:11" s="13" customFormat="1" ht="14.25" customHeight="1" x14ac:dyDescent="0.2">
      <c r="A72" s="24" t="s">
        <v>74</v>
      </c>
      <c r="B72" s="19"/>
      <c r="C72" s="33">
        <f t="shared" ref="C72:H72" si="9">SUM(C73:C74)</f>
        <v>115011779.82000001</v>
      </c>
      <c r="D72" s="33">
        <f t="shared" si="9"/>
        <v>0</v>
      </c>
      <c r="E72" s="33">
        <f t="shared" si="9"/>
        <v>115011779.82000001</v>
      </c>
      <c r="F72" s="33">
        <f t="shared" si="9"/>
        <v>32511502.740000002</v>
      </c>
      <c r="G72" s="34">
        <f t="shared" si="9"/>
        <v>32511502.740000002</v>
      </c>
      <c r="H72" s="33">
        <f t="shared" si="9"/>
        <v>82500277.080000013</v>
      </c>
      <c r="I72" s="1"/>
      <c r="K72" s="1"/>
    </row>
    <row r="73" spans="1:11" s="13" customFormat="1" ht="14.25" customHeight="1" x14ac:dyDescent="0.2">
      <c r="A73" s="35"/>
      <c r="B73" s="19" t="s">
        <v>75</v>
      </c>
      <c r="C73" s="23">
        <f>79932320.12-C145</f>
        <v>79932320.120000005</v>
      </c>
      <c r="D73" s="23">
        <f t="shared" si="2"/>
        <v>0</v>
      </c>
      <c r="E73" s="25">
        <f>79932320.12-E145</f>
        <v>79932320.120000005</v>
      </c>
      <c r="F73" s="25">
        <v>17164577.870000001</v>
      </c>
      <c r="G73" s="26">
        <v>17164577.870000001</v>
      </c>
      <c r="H73" s="23">
        <f>E73-F73</f>
        <v>62767742.25</v>
      </c>
      <c r="I73" s="1"/>
      <c r="K73" s="1"/>
    </row>
    <row r="74" spans="1:11" s="13" customFormat="1" ht="14.25" customHeight="1" x14ac:dyDescent="0.2">
      <c r="A74" s="35"/>
      <c r="B74" s="19" t="s">
        <v>76</v>
      </c>
      <c r="C74" s="23">
        <f>35079459.7-C146</f>
        <v>35079459.700000003</v>
      </c>
      <c r="D74" s="23">
        <f t="shared" si="2"/>
        <v>0</v>
      </c>
      <c r="E74" s="25">
        <f>35079459.7-E146</f>
        <v>35079459.700000003</v>
      </c>
      <c r="F74" s="25">
        <v>15346924.869999999</v>
      </c>
      <c r="G74" s="26">
        <v>15346924.870000001</v>
      </c>
      <c r="H74" s="23">
        <f>E74-F74</f>
        <v>19732534.830000006</v>
      </c>
      <c r="I74" s="1"/>
      <c r="K74" s="1"/>
    </row>
    <row r="75" spans="1:11" s="13" customFormat="1" ht="14.25" customHeight="1" x14ac:dyDescent="0.2">
      <c r="A75" s="35"/>
      <c r="B75" s="19" t="s">
        <v>77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1"/>
      <c r="K75" s="1"/>
    </row>
    <row r="76" spans="1:11" s="13" customFormat="1" ht="14.25" customHeight="1" x14ac:dyDescent="0.2">
      <c r="A76" s="35"/>
      <c r="B76" s="19" t="s">
        <v>78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1"/>
      <c r="K76" s="1"/>
    </row>
    <row r="77" spans="1:11" s="13" customFormat="1" ht="14.25" customHeight="1" x14ac:dyDescent="0.2">
      <c r="A77" s="35"/>
      <c r="B77" s="19" t="s">
        <v>79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1"/>
      <c r="K77" s="1"/>
    </row>
    <row r="78" spans="1:11" s="13" customFormat="1" ht="14.25" customHeight="1" x14ac:dyDescent="0.2">
      <c r="A78" s="35"/>
      <c r="B78" s="19" t="s">
        <v>80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1"/>
      <c r="K78" s="1"/>
    </row>
    <row r="79" spans="1:11" s="13" customFormat="1" ht="14.25" customHeight="1" x14ac:dyDescent="0.2">
      <c r="A79" s="35"/>
      <c r="B79" s="19" t="s">
        <v>81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1"/>
      <c r="K79" s="1"/>
    </row>
    <row r="80" spans="1:11" s="13" customFormat="1" ht="14.25" customHeight="1" x14ac:dyDescent="0.2">
      <c r="A80" s="24" t="s">
        <v>82</v>
      </c>
      <c r="B80" s="19"/>
      <c r="C80" s="33">
        <f t="shared" ref="C80:H80" si="10">C81+C89+C99+C128+C109+C119</f>
        <v>502781415</v>
      </c>
      <c r="D80" s="33">
        <f t="shared" si="10"/>
        <v>95134551.939999983</v>
      </c>
      <c r="E80" s="33">
        <f t="shared" si="10"/>
        <v>597915966.93999982</v>
      </c>
      <c r="F80" s="33">
        <f t="shared" si="10"/>
        <v>231399822.69999999</v>
      </c>
      <c r="G80" s="34">
        <f t="shared" si="10"/>
        <v>231399822.69999999</v>
      </c>
      <c r="H80" s="33">
        <f t="shared" si="10"/>
        <v>366516144.23999995</v>
      </c>
      <c r="I80" s="36"/>
      <c r="K80" s="1"/>
    </row>
    <row r="81" spans="1:11" s="13" customFormat="1" ht="14.25" customHeight="1" x14ac:dyDescent="0.2">
      <c r="A81" s="15" t="s">
        <v>13</v>
      </c>
      <c r="B81" s="16"/>
      <c r="C81" s="33">
        <f t="shared" ref="C81:H81" si="11">SUM(C82:C86)</f>
        <v>224885291.5</v>
      </c>
      <c r="D81" s="33">
        <f t="shared" si="11"/>
        <v>-211372.22999999486</v>
      </c>
      <c r="E81" s="33">
        <f t="shared" si="11"/>
        <v>224673919.26999998</v>
      </c>
      <c r="F81" s="33">
        <f t="shared" si="11"/>
        <v>104304366</v>
      </c>
      <c r="G81" s="34">
        <f t="shared" si="11"/>
        <v>104304366</v>
      </c>
      <c r="H81" s="33">
        <f t="shared" si="11"/>
        <v>120369553.27</v>
      </c>
      <c r="I81" s="1"/>
      <c r="K81" s="1"/>
    </row>
    <row r="82" spans="1:11" s="13" customFormat="1" ht="14.25" customHeight="1" x14ac:dyDescent="0.25">
      <c r="A82" s="18"/>
      <c r="B82" s="19" t="s">
        <v>14</v>
      </c>
      <c r="C82" s="37">
        <v>111488825.8</v>
      </c>
      <c r="D82" s="23">
        <f t="shared" si="2"/>
        <v>-945436.37999999523</v>
      </c>
      <c r="E82" s="37">
        <v>110543389.42</v>
      </c>
      <c r="F82" s="25">
        <v>57928993.520000003</v>
      </c>
      <c r="G82" s="26">
        <v>57928993.520000003</v>
      </c>
      <c r="H82" s="23">
        <f t="shared" ref="H82:H129" si="12">E82-F82</f>
        <v>52614395.899999999</v>
      </c>
      <c r="I82" s="1"/>
      <c r="K82" s="1"/>
    </row>
    <row r="83" spans="1:11" s="13" customFormat="1" ht="14.25" customHeight="1" x14ac:dyDescent="0.25">
      <c r="A83" s="18"/>
      <c r="B83" s="19" t="s">
        <v>15</v>
      </c>
      <c r="C83" s="37">
        <v>5200599.76</v>
      </c>
      <c r="D83" s="23">
        <f t="shared" si="2"/>
        <v>195743.24000000022</v>
      </c>
      <c r="E83" s="37">
        <v>5396343</v>
      </c>
      <c r="F83" s="25">
        <v>2176719</v>
      </c>
      <c r="G83" s="26">
        <v>2176719</v>
      </c>
      <c r="H83" s="23">
        <f t="shared" si="12"/>
        <v>3219624</v>
      </c>
      <c r="I83" s="1"/>
      <c r="K83" s="1"/>
    </row>
    <row r="84" spans="1:11" s="13" customFormat="1" ht="14.25" customHeight="1" x14ac:dyDescent="0.2">
      <c r="A84" s="18"/>
      <c r="B84" s="19" t="s">
        <v>16</v>
      </c>
      <c r="C84" s="23">
        <v>39291498.730000004</v>
      </c>
      <c r="D84" s="23">
        <f t="shared" si="2"/>
        <v>1990189.9499999955</v>
      </c>
      <c r="E84" s="23">
        <v>41281688.68</v>
      </c>
      <c r="F84" s="25">
        <v>10888114.289999999</v>
      </c>
      <c r="G84" s="26">
        <v>10888114.289999999</v>
      </c>
      <c r="H84" s="23">
        <f t="shared" si="12"/>
        <v>30393574.390000001</v>
      </c>
      <c r="I84" s="1"/>
      <c r="K84" s="1"/>
    </row>
    <row r="85" spans="1:11" s="13" customFormat="1" ht="14.25" customHeight="1" x14ac:dyDescent="0.2">
      <c r="A85" s="18"/>
      <c r="B85" s="19" t="s">
        <v>17</v>
      </c>
      <c r="C85" s="23">
        <v>24971127.91</v>
      </c>
      <c r="D85" s="23">
        <f t="shared" si="2"/>
        <v>-2165288.66</v>
      </c>
      <c r="E85" s="23">
        <v>22805839.25</v>
      </c>
      <c r="F85" s="25">
        <v>12908975.58</v>
      </c>
      <c r="G85" s="26">
        <v>12908975.58</v>
      </c>
      <c r="H85" s="23">
        <f t="shared" si="12"/>
        <v>9896863.6699999999</v>
      </c>
      <c r="I85" s="1"/>
      <c r="K85" s="1"/>
    </row>
    <row r="86" spans="1:11" s="13" customFormat="1" ht="14.25" customHeight="1" x14ac:dyDescent="0.2">
      <c r="A86" s="18"/>
      <c r="B86" s="19" t="s">
        <v>18</v>
      </c>
      <c r="C86" s="23">
        <v>43933239.299999997</v>
      </c>
      <c r="D86" s="23">
        <f t="shared" si="2"/>
        <v>713419.62000000477</v>
      </c>
      <c r="E86" s="23">
        <v>44646658.920000002</v>
      </c>
      <c r="F86" s="25">
        <v>20401563.609999999</v>
      </c>
      <c r="G86" s="26">
        <v>20401563.609999999</v>
      </c>
      <c r="H86" s="23">
        <f t="shared" si="12"/>
        <v>24245095.310000002</v>
      </c>
      <c r="I86" s="1"/>
      <c r="K86" s="1"/>
    </row>
    <row r="87" spans="1:11" s="13" customFormat="1" ht="14.25" customHeight="1" x14ac:dyDescent="0.2">
      <c r="A87" s="18"/>
      <c r="B87" s="19" t="s">
        <v>19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1"/>
      <c r="K87" s="1"/>
    </row>
    <row r="88" spans="1:11" s="13" customFormat="1" ht="14.25" customHeight="1" x14ac:dyDescent="0.2">
      <c r="A88" s="18"/>
      <c r="B88" s="19" t="s">
        <v>20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1"/>
      <c r="K88" s="1"/>
    </row>
    <row r="89" spans="1:11" s="13" customFormat="1" ht="14.25" customHeight="1" x14ac:dyDescent="0.2">
      <c r="A89" s="24" t="s">
        <v>21</v>
      </c>
      <c r="B89" s="19"/>
      <c r="C89" s="33">
        <f t="shared" ref="C89:H89" si="13">SUM(C90:C98)</f>
        <v>33399575.809999999</v>
      </c>
      <c r="D89" s="33">
        <f t="shared" si="13"/>
        <v>-3435212.16</v>
      </c>
      <c r="E89" s="33">
        <f t="shared" si="13"/>
        <v>29964363.649999999</v>
      </c>
      <c r="F89" s="33">
        <f t="shared" si="13"/>
        <v>8886752.7800000012</v>
      </c>
      <c r="G89" s="34">
        <f t="shared" si="13"/>
        <v>8886752.7800000012</v>
      </c>
      <c r="H89" s="33">
        <f t="shared" si="13"/>
        <v>21077610.869999997</v>
      </c>
      <c r="I89" s="1"/>
      <c r="K89" s="1"/>
    </row>
    <row r="90" spans="1:11" s="13" customFormat="1" ht="14.25" customHeight="1" x14ac:dyDescent="0.25">
      <c r="A90" s="18"/>
      <c r="B90" s="19" t="s">
        <v>22</v>
      </c>
      <c r="C90" s="23">
        <v>98445.42</v>
      </c>
      <c r="D90" s="23">
        <f t="shared" si="2"/>
        <v>64068.61</v>
      </c>
      <c r="E90" s="23">
        <v>162514.03</v>
      </c>
      <c r="F90" s="38">
        <v>32358.33</v>
      </c>
      <c r="G90" s="27">
        <v>32358.33</v>
      </c>
      <c r="H90" s="23">
        <f t="shared" si="12"/>
        <v>130155.7</v>
      </c>
      <c r="I90" s="1"/>
      <c r="K90" s="1"/>
    </row>
    <row r="91" spans="1:11" s="13" customFormat="1" ht="14.25" customHeight="1" x14ac:dyDescent="0.25">
      <c r="A91" s="18"/>
      <c r="B91" s="19" t="s">
        <v>23</v>
      </c>
      <c r="C91" s="23">
        <v>0</v>
      </c>
      <c r="D91" s="23">
        <f t="shared" si="2"/>
        <v>43561.59</v>
      </c>
      <c r="E91" s="23">
        <v>43561.59</v>
      </c>
      <c r="F91" s="38">
        <v>0</v>
      </c>
      <c r="G91" s="27">
        <v>0</v>
      </c>
      <c r="H91" s="23">
        <f t="shared" si="12"/>
        <v>43561.59</v>
      </c>
      <c r="I91" s="1"/>
      <c r="K91" s="1"/>
    </row>
    <row r="92" spans="1:11" s="13" customFormat="1" ht="14.25" customHeight="1" x14ac:dyDescent="0.2">
      <c r="A92" s="18"/>
      <c r="B92" s="19" t="s">
        <v>24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1"/>
      <c r="K92" s="1"/>
    </row>
    <row r="93" spans="1:11" s="13" customFormat="1" ht="14.25" customHeight="1" x14ac:dyDescent="0.2">
      <c r="A93" s="18"/>
      <c r="B93" s="19" t="s">
        <v>25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1"/>
      <c r="K93" s="1"/>
    </row>
    <row r="94" spans="1:11" s="13" customFormat="1" ht="14.25" customHeight="1" x14ac:dyDescent="0.25">
      <c r="A94" s="18"/>
      <c r="B94" s="19" t="s">
        <v>26</v>
      </c>
      <c r="C94" s="23">
        <v>0</v>
      </c>
      <c r="D94" s="23">
        <f t="shared" si="2"/>
        <v>0</v>
      </c>
      <c r="E94" s="23">
        <v>0</v>
      </c>
      <c r="F94" s="38">
        <v>0</v>
      </c>
      <c r="G94" s="27">
        <v>0</v>
      </c>
      <c r="H94" s="23">
        <f t="shared" si="12"/>
        <v>0</v>
      </c>
      <c r="I94" s="1"/>
      <c r="K94" s="1"/>
    </row>
    <row r="95" spans="1:11" s="13" customFormat="1" ht="14.25" customHeight="1" x14ac:dyDescent="0.25">
      <c r="A95" s="18"/>
      <c r="B95" s="19" t="s">
        <v>27</v>
      </c>
      <c r="C95" s="23">
        <v>24731041.579999998</v>
      </c>
      <c r="D95" s="23">
        <f t="shared" si="2"/>
        <v>-813111.6799999997</v>
      </c>
      <c r="E95" s="23">
        <v>23917929.899999999</v>
      </c>
      <c r="F95" s="38">
        <v>7791019.4800000004</v>
      </c>
      <c r="G95" s="27">
        <v>7791019.4800000004</v>
      </c>
      <c r="H95" s="23">
        <f t="shared" si="12"/>
        <v>16126910.419999998</v>
      </c>
      <c r="I95" s="1"/>
      <c r="K95" s="1"/>
    </row>
    <row r="96" spans="1:11" s="13" customFormat="1" ht="14.25" customHeight="1" x14ac:dyDescent="0.25">
      <c r="A96" s="18"/>
      <c r="B96" s="19" t="s">
        <v>28</v>
      </c>
      <c r="C96" s="23">
        <v>5743000</v>
      </c>
      <c r="D96" s="23">
        <f t="shared" si="2"/>
        <v>0</v>
      </c>
      <c r="E96" s="23">
        <v>5743000</v>
      </c>
      <c r="F96" s="38">
        <v>1063374.97</v>
      </c>
      <c r="G96" s="27">
        <v>1063374.97</v>
      </c>
      <c r="H96" s="23">
        <f t="shared" si="12"/>
        <v>4679625.03</v>
      </c>
      <c r="I96" s="1"/>
      <c r="K96" s="1"/>
    </row>
    <row r="97" spans="1:11" s="13" customFormat="1" ht="14.25" customHeight="1" x14ac:dyDescent="0.2">
      <c r="A97" s="18"/>
      <c r="B97" s="19" t="s">
        <v>29</v>
      </c>
      <c r="C97" s="23">
        <v>469059.4</v>
      </c>
      <c r="D97" s="23">
        <f t="shared" si="2"/>
        <v>-3338112.4</v>
      </c>
      <c r="E97" s="23">
        <v>-2869053</v>
      </c>
      <c r="F97" s="39">
        <v>0</v>
      </c>
      <c r="G97" s="39">
        <v>0</v>
      </c>
      <c r="H97" s="23">
        <f t="shared" si="12"/>
        <v>-2869053</v>
      </c>
      <c r="I97" s="1"/>
      <c r="K97" s="1"/>
    </row>
    <row r="98" spans="1:11" s="13" customFormat="1" ht="14.25" customHeight="1" x14ac:dyDescent="0.2">
      <c r="A98" s="18"/>
      <c r="B98" s="19" t="s">
        <v>30</v>
      </c>
      <c r="C98" s="23">
        <v>2358029.41</v>
      </c>
      <c r="D98" s="23">
        <f t="shared" si="2"/>
        <v>608381.71999999974</v>
      </c>
      <c r="E98" s="23">
        <v>2966411.13</v>
      </c>
      <c r="F98" s="39">
        <v>0</v>
      </c>
      <c r="G98" s="39">
        <v>0</v>
      </c>
      <c r="H98" s="23">
        <f t="shared" si="12"/>
        <v>2966411.13</v>
      </c>
      <c r="I98" s="1"/>
      <c r="K98" s="1"/>
    </row>
    <row r="99" spans="1:11" s="13" customFormat="1" ht="14.25" customHeight="1" x14ac:dyDescent="0.2">
      <c r="A99" s="24" t="s">
        <v>31</v>
      </c>
      <c r="B99" s="32"/>
      <c r="C99" s="33">
        <f t="shared" ref="C99:H99" si="14">SUM(C100:C108)</f>
        <v>164542335.69</v>
      </c>
      <c r="D99" s="33">
        <f t="shared" si="14"/>
        <v>5748895.2899999944</v>
      </c>
      <c r="E99" s="33">
        <f t="shared" si="14"/>
        <v>170291230.98000002</v>
      </c>
      <c r="F99" s="33">
        <f t="shared" si="14"/>
        <v>79434840.469999999</v>
      </c>
      <c r="G99" s="34">
        <f t="shared" si="14"/>
        <v>79434840.469999999</v>
      </c>
      <c r="H99" s="33">
        <f t="shared" si="14"/>
        <v>90856390.510000005</v>
      </c>
      <c r="I99" s="1"/>
      <c r="K99" s="1"/>
    </row>
    <row r="100" spans="1:11" s="13" customFormat="1" ht="14.25" customHeight="1" x14ac:dyDescent="0.2">
      <c r="A100" s="18"/>
      <c r="B100" s="19" t="s">
        <v>32</v>
      </c>
      <c r="C100" s="23">
        <v>0</v>
      </c>
      <c r="D100" s="23">
        <f t="shared" si="2"/>
        <v>750</v>
      </c>
      <c r="E100" s="23">
        <v>750</v>
      </c>
      <c r="F100" s="39">
        <v>0</v>
      </c>
      <c r="G100" s="39">
        <v>0</v>
      </c>
      <c r="H100" s="23">
        <f t="shared" si="12"/>
        <v>750</v>
      </c>
      <c r="I100" s="1"/>
      <c r="K100" s="1"/>
    </row>
    <row r="101" spans="1:11" s="13" customFormat="1" ht="14.25" customHeight="1" x14ac:dyDescent="0.2">
      <c r="A101" s="18"/>
      <c r="B101" s="19" t="s">
        <v>33</v>
      </c>
      <c r="C101" s="23">
        <v>69500000</v>
      </c>
      <c r="D101" s="23">
        <f t="shared" si="2"/>
        <v>-40871075.399999999</v>
      </c>
      <c r="E101" s="23">
        <v>28628924.600000001</v>
      </c>
      <c r="F101" s="39">
        <v>13862707.26</v>
      </c>
      <c r="G101" s="40">
        <v>13862707.26</v>
      </c>
      <c r="H101" s="23">
        <f t="shared" si="12"/>
        <v>14766217.340000002</v>
      </c>
      <c r="I101" s="1"/>
      <c r="K101" s="1"/>
    </row>
    <row r="102" spans="1:11" s="13" customFormat="1" ht="14.25" customHeight="1" x14ac:dyDescent="0.2">
      <c r="A102" s="18"/>
      <c r="B102" s="19" t="s">
        <v>34</v>
      </c>
      <c r="C102" s="23">
        <f>9944480+8026176.6</f>
        <v>17970656.600000001</v>
      </c>
      <c r="D102" s="23">
        <f t="shared" si="2"/>
        <v>5110364.549999997</v>
      </c>
      <c r="E102" s="23">
        <v>23081021.149999999</v>
      </c>
      <c r="F102" s="39">
        <v>5176940</v>
      </c>
      <c r="G102" s="40">
        <v>5176940</v>
      </c>
      <c r="H102" s="23">
        <f t="shared" si="12"/>
        <v>17904081.149999999</v>
      </c>
      <c r="I102" s="1"/>
      <c r="K102" s="1"/>
    </row>
    <row r="103" spans="1:11" s="13" customFormat="1" ht="14.25" customHeight="1" x14ac:dyDescent="0.2">
      <c r="A103" s="18"/>
      <c r="B103" s="19" t="s">
        <v>35</v>
      </c>
      <c r="C103" s="23">
        <v>6571679.0899999999</v>
      </c>
      <c r="D103" s="23">
        <f t="shared" si="2"/>
        <v>-2390.769999999553</v>
      </c>
      <c r="E103" s="23">
        <v>6569288.3200000003</v>
      </c>
      <c r="F103" s="39">
        <v>6566195.1799999997</v>
      </c>
      <c r="G103" s="40">
        <v>6566195.1799999997</v>
      </c>
      <c r="H103" s="23">
        <f t="shared" si="12"/>
        <v>3093.140000000596</v>
      </c>
      <c r="I103" s="1"/>
      <c r="K103" s="1"/>
    </row>
    <row r="104" spans="1:11" s="13" customFormat="1" ht="14.25" customHeight="1" x14ac:dyDescent="0.2">
      <c r="A104" s="18"/>
      <c r="B104" s="19" t="s">
        <v>36</v>
      </c>
      <c r="C104" s="23">
        <v>70500000</v>
      </c>
      <c r="D104" s="23">
        <f t="shared" si="2"/>
        <v>41442182.859999999</v>
      </c>
      <c r="E104" s="23">
        <v>111942182.86</v>
      </c>
      <c r="F104" s="39">
        <v>53811134.030000001</v>
      </c>
      <c r="G104" s="40">
        <v>53811134.030000001</v>
      </c>
      <c r="H104" s="23">
        <f t="shared" si="12"/>
        <v>58131048.829999998</v>
      </c>
      <c r="I104" s="1"/>
      <c r="K104" s="1"/>
    </row>
    <row r="105" spans="1:11" s="13" customFormat="1" ht="14.25" customHeight="1" x14ac:dyDescent="0.2">
      <c r="A105" s="18"/>
      <c r="B105" s="19" t="s">
        <v>37</v>
      </c>
      <c r="C105" s="23">
        <v>0</v>
      </c>
      <c r="D105" s="23">
        <f t="shared" si="2"/>
        <v>67864</v>
      </c>
      <c r="E105" s="23">
        <v>67864</v>
      </c>
      <c r="F105" s="39">
        <v>17864</v>
      </c>
      <c r="G105" s="40">
        <v>17864</v>
      </c>
      <c r="H105" s="23">
        <f t="shared" si="12"/>
        <v>50000</v>
      </c>
      <c r="I105" s="1"/>
      <c r="K105" s="1"/>
    </row>
    <row r="106" spans="1:11" s="13" customFormat="1" ht="14.25" customHeight="1" x14ac:dyDescent="0.2">
      <c r="A106" s="18"/>
      <c r="B106" s="19" t="s">
        <v>38</v>
      </c>
      <c r="C106" s="23">
        <v>0</v>
      </c>
      <c r="D106" s="23">
        <f t="shared" si="2"/>
        <v>1200</v>
      </c>
      <c r="E106" s="23">
        <v>1200</v>
      </c>
      <c r="F106" s="39">
        <v>0</v>
      </c>
      <c r="G106" s="40">
        <v>0</v>
      </c>
      <c r="H106" s="23">
        <f t="shared" si="12"/>
        <v>1200</v>
      </c>
      <c r="I106" s="1"/>
      <c r="K106" s="14"/>
    </row>
    <row r="107" spans="1:11" s="13" customFormat="1" ht="14.25" customHeight="1" x14ac:dyDescent="0.2">
      <c r="A107" s="18"/>
      <c r="B107" s="19" t="s">
        <v>39</v>
      </c>
      <c r="C107" s="23">
        <v>0</v>
      </c>
      <c r="D107" s="23">
        <f>E107-C107</f>
        <v>0</v>
      </c>
      <c r="E107" s="23">
        <v>0</v>
      </c>
      <c r="F107" s="39">
        <v>0</v>
      </c>
      <c r="G107" s="40">
        <v>0</v>
      </c>
      <c r="H107" s="23">
        <f t="shared" si="12"/>
        <v>0</v>
      </c>
      <c r="I107" s="1"/>
      <c r="K107" s="14"/>
    </row>
    <row r="108" spans="1:11" s="13" customFormat="1" ht="14.25" customHeight="1" x14ac:dyDescent="0.2">
      <c r="A108" s="18"/>
      <c r="B108" s="19" t="s">
        <v>40</v>
      </c>
      <c r="C108" s="23">
        <v>0</v>
      </c>
      <c r="D108" s="23">
        <f>E108-C108</f>
        <v>0.05</v>
      </c>
      <c r="E108" s="23">
        <v>0.05</v>
      </c>
      <c r="F108" s="39">
        <v>0</v>
      </c>
      <c r="G108" s="40">
        <v>0</v>
      </c>
      <c r="H108" s="23">
        <f t="shared" si="12"/>
        <v>0.05</v>
      </c>
      <c r="I108" s="1"/>
      <c r="K108" s="14"/>
    </row>
    <row r="109" spans="1:11" s="13" customFormat="1" ht="14.25" customHeight="1" x14ac:dyDescent="0.2">
      <c r="A109" s="24" t="s">
        <v>41</v>
      </c>
      <c r="B109" s="32"/>
      <c r="C109" s="33">
        <f t="shared" ref="C109:H109" si="15">SUM(C110:C114)</f>
        <v>0</v>
      </c>
      <c r="D109" s="33">
        <f t="shared" si="15"/>
        <v>8598072.8000000007</v>
      </c>
      <c r="E109" s="33">
        <f t="shared" si="15"/>
        <v>8598072.8000000007</v>
      </c>
      <c r="F109" s="33">
        <f t="shared" si="15"/>
        <v>0</v>
      </c>
      <c r="G109" s="34">
        <f t="shared" si="15"/>
        <v>0</v>
      </c>
      <c r="H109" s="33">
        <f t="shared" si="15"/>
        <v>8598072.8000000007</v>
      </c>
      <c r="I109" s="1"/>
      <c r="K109" s="14"/>
    </row>
    <row r="110" spans="1:11" s="13" customFormat="1" ht="14.25" customHeight="1" x14ac:dyDescent="0.2">
      <c r="A110" s="18"/>
      <c r="B110" s="19" t="s">
        <v>42</v>
      </c>
      <c r="C110" s="23">
        <v>0</v>
      </c>
      <c r="D110" s="23">
        <f>E110-C110</f>
        <v>0</v>
      </c>
      <c r="E110" s="23">
        <v>0</v>
      </c>
      <c r="F110" s="25">
        <v>0</v>
      </c>
      <c r="G110" s="26">
        <v>0</v>
      </c>
      <c r="H110" s="23">
        <f t="shared" si="12"/>
        <v>0</v>
      </c>
      <c r="I110" s="1"/>
      <c r="K110" s="14"/>
    </row>
    <row r="111" spans="1:11" s="13" customFormat="1" ht="14.25" customHeight="1" x14ac:dyDescent="0.2">
      <c r="A111" s="18"/>
      <c r="B111" s="19" t="s">
        <v>43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1"/>
      <c r="K111" s="14"/>
    </row>
    <row r="112" spans="1:11" s="13" customFormat="1" ht="14.25" customHeight="1" x14ac:dyDescent="0.2">
      <c r="A112" s="18"/>
      <c r="B112" s="19" t="s">
        <v>44</v>
      </c>
      <c r="C112" s="23">
        <v>0</v>
      </c>
      <c r="D112" s="23">
        <f>E112-C112</f>
        <v>7400000</v>
      </c>
      <c r="E112" s="23">
        <v>7400000</v>
      </c>
      <c r="F112" s="25">
        <v>0</v>
      </c>
      <c r="G112" s="26">
        <v>0</v>
      </c>
      <c r="H112" s="23">
        <f t="shared" si="12"/>
        <v>7400000</v>
      </c>
      <c r="I112" s="1"/>
      <c r="K112" s="14"/>
    </row>
    <row r="113" spans="1:9" ht="15" customHeight="1" x14ac:dyDescent="0.2">
      <c r="A113" s="18"/>
      <c r="B113" s="19" t="s">
        <v>45</v>
      </c>
      <c r="C113" s="23">
        <v>0</v>
      </c>
      <c r="D113" s="23">
        <f>E113-C113</f>
        <v>1198072.8</v>
      </c>
      <c r="E113" s="23">
        <v>1198072.8</v>
      </c>
      <c r="F113" s="25">
        <v>0</v>
      </c>
      <c r="G113" s="26">
        <v>0</v>
      </c>
      <c r="H113" s="23">
        <f t="shared" si="12"/>
        <v>1198072.8</v>
      </c>
    </row>
    <row r="114" spans="1:9" ht="15" customHeight="1" x14ac:dyDescent="0.25">
      <c r="A114" s="18"/>
      <c r="B114" s="19" t="s">
        <v>46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/>
    </row>
    <row r="115" spans="1:9" ht="15" customHeight="1" x14ac:dyDescent="0.25">
      <c r="A115" s="18"/>
      <c r="B115" s="19" t="s">
        <v>47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/>
    </row>
    <row r="116" spans="1:9" ht="15" customHeight="1" x14ac:dyDescent="0.25">
      <c r="A116" s="18"/>
      <c r="B116" s="19" t="s">
        <v>48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/>
    </row>
    <row r="117" spans="1:9" ht="15" customHeight="1" x14ac:dyDescent="0.25">
      <c r="A117" s="18"/>
      <c r="B117" s="19" t="s">
        <v>49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/>
    </row>
    <row r="118" spans="1:9" ht="15" customHeight="1" x14ac:dyDescent="0.25">
      <c r="A118" s="18"/>
      <c r="B118" s="19" t="s">
        <v>50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/>
    </row>
    <row r="119" spans="1:9" ht="15" customHeight="1" x14ac:dyDescent="0.25">
      <c r="A119" s="24" t="s">
        <v>51</v>
      </c>
      <c r="B119" s="32"/>
      <c r="C119" s="33">
        <f t="shared" ref="C119:H119" si="16">SUM(C127)</f>
        <v>0</v>
      </c>
      <c r="D119" s="33">
        <f t="shared" si="16"/>
        <v>2757772.28</v>
      </c>
      <c r="E119" s="33">
        <f t="shared" si="16"/>
        <v>2757772.28</v>
      </c>
      <c r="F119" s="33">
        <f t="shared" si="16"/>
        <v>0</v>
      </c>
      <c r="G119" s="34">
        <f t="shared" si="16"/>
        <v>0</v>
      </c>
      <c r="H119" s="33">
        <f t="shared" si="16"/>
        <v>2757772.28</v>
      </c>
      <c r="I119"/>
    </row>
    <row r="120" spans="1:9" ht="15" customHeight="1" x14ac:dyDescent="0.25">
      <c r="A120" s="24"/>
      <c r="B120" s="19" t="s">
        <v>52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/>
    </row>
    <row r="121" spans="1:9" ht="15" customHeight="1" x14ac:dyDescent="0.25">
      <c r="A121" s="24"/>
      <c r="B121" s="19" t="s">
        <v>53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/>
    </row>
    <row r="122" spans="1:9" ht="15" customHeight="1" x14ac:dyDescent="0.25">
      <c r="A122" s="24"/>
      <c r="B122" s="19" t="s">
        <v>54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/>
    </row>
    <row r="123" spans="1:9" ht="15" customHeight="1" x14ac:dyDescent="0.25">
      <c r="A123" s="24"/>
      <c r="B123" s="19" t="s">
        <v>55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/>
    </row>
    <row r="124" spans="1:9" ht="15" customHeight="1" x14ac:dyDescent="0.25">
      <c r="A124" s="24"/>
      <c r="B124" s="19" t="s">
        <v>56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/>
    </row>
    <row r="125" spans="1:9" ht="15" customHeight="1" x14ac:dyDescent="0.25">
      <c r="A125" s="24"/>
      <c r="B125" s="19" t="s">
        <v>57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/>
    </row>
    <row r="126" spans="1:9" ht="15" customHeight="1" x14ac:dyDescent="0.25">
      <c r="A126" s="24"/>
      <c r="B126" s="19" t="s">
        <v>83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/>
    </row>
    <row r="127" spans="1:9" ht="15" customHeight="1" x14ac:dyDescent="0.25">
      <c r="A127" s="18"/>
      <c r="B127" s="19" t="s">
        <v>51</v>
      </c>
      <c r="C127" s="23">
        <v>0</v>
      </c>
      <c r="D127" s="23">
        <v>2757772.28</v>
      </c>
      <c r="E127" s="23">
        <v>2757772.28</v>
      </c>
      <c r="F127" s="38">
        <v>0</v>
      </c>
      <c r="G127" s="27">
        <v>0</v>
      </c>
      <c r="H127" s="23">
        <f t="shared" si="12"/>
        <v>2757772.28</v>
      </c>
      <c r="I127"/>
    </row>
    <row r="128" spans="1:9" ht="15" customHeight="1" x14ac:dyDescent="0.25">
      <c r="A128" s="24" t="s">
        <v>58</v>
      </c>
      <c r="B128" s="19"/>
      <c r="C128" s="33">
        <f>SUM(C129:C131)</f>
        <v>79954212</v>
      </c>
      <c r="D128" s="33">
        <f>SUM(D129:D131)</f>
        <v>81676395.959999979</v>
      </c>
      <c r="E128" s="33">
        <f>SUM(E129:E131)</f>
        <v>161630607.95999998</v>
      </c>
      <c r="F128" s="33">
        <f>SUM(F129:F131)</f>
        <v>38773863.450000003</v>
      </c>
      <c r="G128" s="34">
        <f>SUM(G129)</f>
        <v>38773863.450000003</v>
      </c>
      <c r="H128" s="33">
        <f>SUM(H129:H131)</f>
        <v>122856744.50999998</v>
      </c>
      <c r="I128"/>
    </row>
    <row r="129" spans="1:11" ht="15" customHeight="1" x14ac:dyDescent="0.25">
      <c r="A129" s="18"/>
      <c r="B129" s="19" t="s">
        <v>59</v>
      </c>
      <c r="C129" s="23">
        <v>79954212</v>
      </c>
      <c r="D129" s="23">
        <f>E129-C129</f>
        <v>81676395.959999979</v>
      </c>
      <c r="E129" s="23">
        <v>161630607.95999998</v>
      </c>
      <c r="F129" s="23">
        <v>38773863.450000003</v>
      </c>
      <c r="G129" s="23">
        <v>38773863.450000003</v>
      </c>
      <c r="H129" s="23">
        <f t="shared" si="12"/>
        <v>122856744.50999998</v>
      </c>
      <c r="I129"/>
    </row>
    <row r="130" spans="1:11" ht="15" customHeight="1" x14ac:dyDescent="0.25">
      <c r="A130" s="18"/>
      <c r="B130" s="19" t="s">
        <v>60</v>
      </c>
      <c r="C130" s="23">
        <v>0</v>
      </c>
      <c r="D130" s="23">
        <f>E130-C130</f>
        <v>0</v>
      </c>
      <c r="E130" s="23">
        <v>0</v>
      </c>
      <c r="F130" s="25">
        <v>0</v>
      </c>
      <c r="G130" s="26">
        <v>0</v>
      </c>
      <c r="H130" s="23">
        <f>E130-F130</f>
        <v>0</v>
      </c>
      <c r="I130"/>
    </row>
    <row r="131" spans="1:11" x14ac:dyDescent="0.2">
      <c r="A131" s="18"/>
      <c r="B131" s="19" t="s">
        <v>61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</row>
    <row r="132" spans="1:11" x14ac:dyDescent="0.2">
      <c r="A132" s="24" t="s">
        <v>62</v>
      </c>
      <c r="B132" s="19"/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</row>
    <row r="133" spans="1:11" x14ac:dyDescent="0.2">
      <c r="A133" s="24"/>
      <c r="B133" s="19" t="s">
        <v>63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</row>
    <row r="134" spans="1:11" x14ac:dyDescent="0.2">
      <c r="A134" s="24"/>
      <c r="B134" s="19" t="s">
        <v>64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</row>
    <row r="135" spans="1:11" x14ac:dyDescent="0.2">
      <c r="A135" s="24"/>
      <c r="B135" s="19" t="s">
        <v>65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</row>
    <row r="136" spans="1:11" x14ac:dyDescent="0.2">
      <c r="A136" s="24"/>
      <c r="B136" s="19" t="s">
        <v>84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</row>
    <row r="137" spans="1:11" x14ac:dyDescent="0.2">
      <c r="A137" s="24"/>
      <c r="B137" s="19" t="s">
        <v>67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</row>
    <row r="138" spans="1:11" x14ac:dyDescent="0.2">
      <c r="A138" s="24"/>
      <c r="B138" s="19" t="s">
        <v>85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</row>
    <row r="139" spans="1:11" x14ac:dyDescent="0.2">
      <c r="A139" s="24"/>
      <c r="B139" s="19" t="s">
        <v>69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11" customFormat="1" ht="15" x14ac:dyDescent="0.25">
      <c r="A140" s="24" t="s">
        <v>70</v>
      </c>
      <c r="B140" s="19"/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1"/>
      <c r="K140" s="41"/>
    </row>
    <row r="141" spans="1:11" customFormat="1" ht="15" x14ac:dyDescent="0.25">
      <c r="A141" s="24"/>
      <c r="B141" s="19" t="s">
        <v>71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1"/>
      <c r="K141" s="41"/>
    </row>
    <row r="142" spans="1:11" customFormat="1" ht="15" x14ac:dyDescent="0.25">
      <c r="A142" s="24"/>
      <c r="B142" s="19" t="s">
        <v>72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1"/>
      <c r="K142" s="41"/>
    </row>
    <row r="143" spans="1:11" customFormat="1" ht="15" x14ac:dyDescent="0.25">
      <c r="A143" s="24"/>
      <c r="B143" s="19" t="s">
        <v>73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1"/>
      <c r="K143" s="41"/>
    </row>
    <row r="144" spans="1:11" customFormat="1" ht="15" x14ac:dyDescent="0.25">
      <c r="A144" s="24" t="s">
        <v>74</v>
      </c>
      <c r="B144" s="19"/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1"/>
      <c r="K144" s="41"/>
    </row>
    <row r="145" spans="1:11" customFormat="1" ht="15" x14ac:dyDescent="0.25">
      <c r="A145" s="35"/>
      <c r="B145" s="19" t="s">
        <v>75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1"/>
      <c r="K145" s="41"/>
    </row>
    <row r="146" spans="1:11" customFormat="1" ht="15" x14ac:dyDescent="0.25">
      <c r="A146" s="35"/>
      <c r="B146" s="19" t="s">
        <v>76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1"/>
      <c r="K146" s="41"/>
    </row>
    <row r="147" spans="1:11" customFormat="1" ht="15" x14ac:dyDescent="0.25">
      <c r="A147" s="35"/>
      <c r="B147" s="19" t="s">
        <v>77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1"/>
      <c r="K147" s="41"/>
    </row>
    <row r="148" spans="1:11" customFormat="1" ht="15" x14ac:dyDescent="0.25">
      <c r="A148" s="35"/>
      <c r="B148" s="19" t="s">
        <v>78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1"/>
      <c r="K148" s="41"/>
    </row>
    <row r="149" spans="1:11" customFormat="1" ht="15" x14ac:dyDescent="0.25">
      <c r="A149" s="35"/>
      <c r="B149" s="19" t="s">
        <v>79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1"/>
      <c r="K149" s="41"/>
    </row>
    <row r="150" spans="1:11" customFormat="1" ht="15" x14ac:dyDescent="0.25">
      <c r="A150" s="35"/>
      <c r="B150" s="19" t="s">
        <v>80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1"/>
      <c r="K150" s="41"/>
    </row>
    <row r="151" spans="1:11" customFormat="1" ht="15" x14ac:dyDescent="0.25">
      <c r="A151" s="35"/>
      <c r="B151" s="19" t="s">
        <v>81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1"/>
      <c r="K151" s="41"/>
    </row>
    <row r="152" spans="1:11" customFormat="1" ht="15" x14ac:dyDescent="0.25">
      <c r="A152" s="35"/>
      <c r="B152" s="19"/>
      <c r="C152" s="23"/>
      <c r="D152" s="23"/>
      <c r="E152" s="23"/>
      <c r="F152" s="42"/>
      <c r="G152" s="26"/>
      <c r="H152" s="23"/>
      <c r="I152" s="1"/>
      <c r="K152" s="41"/>
    </row>
    <row r="153" spans="1:11" customFormat="1" ht="15" x14ac:dyDescent="0.25">
      <c r="A153" s="43" t="s">
        <v>86</v>
      </c>
      <c r="B153" s="44"/>
      <c r="C153" s="45">
        <f>C9+C80</f>
        <v>2076956000</v>
      </c>
      <c r="D153" s="45">
        <f>D9+D80</f>
        <v>101551888.39000002</v>
      </c>
      <c r="E153" s="45">
        <f>E9+E80</f>
        <v>2178507888.3899994</v>
      </c>
      <c r="F153" s="45">
        <f>F80+F9</f>
        <v>1057521789.1800001</v>
      </c>
      <c r="G153" s="45">
        <f>G80+G9</f>
        <v>1028018232.0400002</v>
      </c>
      <c r="H153" s="45">
        <f>H9+H80</f>
        <v>1120986099.21</v>
      </c>
      <c r="I153" s="1"/>
      <c r="K153" s="41"/>
    </row>
    <row r="154" spans="1:11" hidden="1" x14ac:dyDescent="0.2"/>
    <row r="155" spans="1:11" hidden="1" x14ac:dyDescent="0.2">
      <c r="C155" s="47">
        <v>2076956000</v>
      </c>
      <c r="D155" s="47">
        <v>101551888.39000003</v>
      </c>
      <c r="E155" s="47">
        <v>2178507888.3899999</v>
      </c>
      <c r="F155" s="47">
        <v>1057521789.1799998</v>
      </c>
      <c r="G155" s="47">
        <v>1028018232.0399996</v>
      </c>
      <c r="H155" s="47">
        <v>1120986099.2100003</v>
      </c>
    </row>
    <row r="157" spans="1:11" hidden="1" x14ac:dyDescent="0.2"/>
    <row r="158" spans="1:11" hidden="1" x14ac:dyDescent="0.2"/>
    <row r="159" spans="1:11" hidden="1" x14ac:dyDescent="0.2"/>
    <row r="160" spans="1:11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</sheetData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&amp;C&amp;F&amp;R&amp;Pde&amp;N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Etiq y no Etiq Junio</vt:lpstr>
      <vt:lpstr>'Etiq y no Etiq Junio'!Área_de_impresión</vt:lpstr>
      <vt:lpstr>'Etiq y no Etiq Junio'!Títulos_a_imprimir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2019-08-29T17:55:12Z</cp:lastPrinted>
  <dcterms:created xsi:type="dcterms:W3CDTF">2019-07-15T20:19:59Z</dcterms:created>
  <dcterms:modified xsi:type="dcterms:W3CDTF">2019-08-29T17:55:21Z</dcterms:modified>
</cp:coreProperties>
</file>